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E:\Dropbox\03 - Robo Bolsa\04 - Configura_Robo\"/>
    </mc:Choice>
  </mc:AlternateContent>
  <xr:revisionPtr revIDLastSave="0" documentId="13_ncr:1_{C2D883DD-7F3A-4683-B136-ED32927ACCBA}" xr6:coauthVersionLast="47" xr6:coauthVersionMax="47" xr10:uidLastSave="{00000000-0000-0000-0000-000000000000}"/>
  <bookViews>
    <workbookView xWindow="-120" yWindow="-120" windowWidth="29040" windowHeight="15990" tabRatio="685" activeTab="2" xr2:uid="{47C8327D-E0A5-4983-BB28-87F1BBD50E53}"/>
  </bookViews>
  <sheets>
    <sheet name="Mini índice" sheetId="20" r:id="rId1"/>
    <sheet name="Mini Dólar" sheetId="24" r:id="rId2"/>
    <sheet name="Estratégias Mini Índice" sheetId="19" r:id="rId3"/>
    <sheet name="Take Profit Mini Índice" sheetId="27" r:id="rId4"/>
    <sheet name="Estratégias Mini Dólar" sheetId="29" r:id="rId5"/>
    <sheet name="Take Profit Mini Dólar)" sheetId="26" r:id="rId6"/>
    <sheet name="Tutorial" sheetId="21" r:id="rId7"/>
  </sheets>
  <definedNames>
    <definedName name="_xlnm.Print_Area" localSheetId="6">Tutorial!$A$1:$K$121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13" i="19" l="1"/>
  <c r="P112" i="19"/>
  <c r="P111" i="19"/>
  <c r="P110" i="19"/>
  <c r="P109" i="19"/>
  <c r="P108" i="19"/>
  <c r="P107" i="19"/>
  <c r="P106" i="19"/>
  <c r="P105" i="19"/>
  <c r="P104" i="19"/>
  <c r="P102" i="19"/>
  <c r="P101" i="19"/>
  <c r="P100" i="19"/>
  <c r="P99" i="19"/>
  <c r="P98" i="19"/>
  <c r="P97" i="19"/>
  <c r="P96" i="19"/>
  <c r="P95" i="19"/>
  <c r="P94" i="19"/>
  <c r="P93" i="19"/>
  <c r="P91" i="19"/>
  <c r="P90" i="19"/>
  <c r="P89" i="19"/>
  <c r="P88" i="19"/>
  <c r="P87" i="19"/>
  <c r="P86" i="19"/>
  <c r="P85" i="19"/>
  <c r="P84" i="19"/>
  <c r="D117" i="29"/>
  <c r="D106" i="29"/>
  <c r="E106" i="29" s="1"/>
  <c r="D95" i="29"/>
  <c r="E95" i="29" s="1"/>
  <c r="D84" i="29"/>
  <c r="E84" i="29" s="1"/>
  <c r="D74" i="29"/>
  <c r="D75" i="29" s="1"/>
  <c r="E73" i="29"/>
  <c r="D73" i="29"/>
  <c r="D62" i="29"/>
  <c r="D63" i="29" s="1"/>
  <c r="E51" i="29"/>
  <c r="D51" i="29"/>
  <c r="D40" i="29"/>
  <c r="E40" i="29" s="1"/>
  <c r="D29" i="29"/>
  <c r="E29" i="29" s="1"/>
  <c r="D18" i="29"/>
  <c r="E18" i="29" s="1"/>
  <c r="D7" i="29"/>
  <c r="E7" i="29" s="1"/>
  <c r="H2" i="29"/>
  <c r="G117" i="29" s="1"/>
  <c r="G118" i="29" s="1"/>
  <c r="D106" i="19"/>
  <c r="D107" i="19" s="1"/>
  <c r="D18" i="19"/>
  <c r="D19" i="19" s="1"/>
  <c r="D20" i="19" s="1"/>
  <c r="D21" i="19" s="1"/>
  <c r="D22" i="19" s="1"/>
  <c r="G19" i="27"/>
  <c r="F20" i="27"/>
  <c r="M68" i="27"/>
  <c r="M67" i="27"/>
  <c r="L67" i="27"/>
  <c r="M66" i="27"/>
  <c r="L66" i="27"/>
  <c r="K66" i="27"/>
  <c r="M65" i="27"/>
  <c r="L65" i="27"/>
  <c r="K65" i="27"/>
  <c r="J65" i="27"/>
  <c r="M64" i="27"/>
  <c r="L64" i="27"/>
  <c r="K64" i="27"/>
  <c r="J64" i="27"/>
  <c r="I64" i="27"/>
  <c r="M63" i="27"/>
  <c r="L63" i="27"/>
  <c r="K63" i="27"/>
  <c r="J63" i="27"/>
  <c r="I63" i="27"/>
  <c r="H63" i="27"/>
  <c r="M62" i="27"/>
  <c r="L62" i="27"/>
  <c r="K62" i="27"/>
  <c r="J62" i="27"/>
  <c r="I62" i="27"/>
  <c r="H62" i="27"/>
  <c r="G62" i="27"/>
  <c r="M61" i="27"/>
  <c r="L61" i="27"/>
  <c r="K61" i="27"/>
  <c r="J61" i="27"/>
  <c r="I61" i="27"/>
  <c r="H61" i="27"/>
  <c r="G61" i="27"/>
  <c r="F61" i="27"/>
  <c r="M60" i="27"/>
  <c r="L60" i="27"/>
  <c r="K60" i="27"/>
  <c r="J60" i="27"/>
  <c r="I60" i="27"/>
  <c r="H60" i="27"/>
  <c r="G60" i="27"/>
  <c r="F60" i="27"/>
  <c r="E60" i="27"/>
  <c r="M59" i="27"/>
  <c r="L59" i="27"/>
  <c r="K59" i="27"/>
  <c r="J59" i="27"/>
  <c r="I59" i="27"/>
  <c r="H59" i="27"/>
  <c r="G59" i="27"/>
  <c r="F59" i="27"/>
  <c r="E59" i="27"/>
  <c r="D59" i="27"/>
  <c r="M58" i="27"/>
  <c r="L58" i="27"/>
  <c r="K58" i="27"/>
  <c r="J58" i="27"/>
  <c r="I58" i="27"/>
  <c r="H58" i="27"/>
  <c r="G58" i="27"/>
  <c r="F58" i="27"/>
  <c r="E58" i="27"/>
  <c r="D58" i="27"/>
  <c r="C58" i="27"/>
  <c r="M55" i="27"/>
  <c r="M54" i="27"/>
  <c r="L54" i="27"/>
  <c r="M53" i="27"/>
  <c r="L53" i="27"/>
  <c r="K53" i="27"/>
  <c r="M52" i="27"/>
  <c r="L52" i="27"/>
  <c r="K52" i="27"/>
  <c r="J52" i="27"/>
  <c r="M51" i="27"/>
  <c r="L51" i="27"/>
  <c r="K51" i="27"/>
  <c r="J51" i="27"/>
  <c r="I51" i="27"/>
  <c r="M50" i="27"/>
  <c r="L50" i="27"/>
  <c r="K50" i="27"/>
  <c r="J50" i="27"/>
  <c r="I50" i="27"/>
  <c r="H50" i="27"/>
  <c r="M49" i="27"/>
  <c r="L49" i="27"/>
  <c r="K49" i="27"/>
  <c r="J49" i="27"/>
  <c r="I49" i="27"/>
  <c r="H49" i="27"/>
  <c r="G49" i="27"/>
  <c r="M48" i="27"/>
  <c r="L48" i="27"/>
  <c r="K48" i="27"/>
  <c r="J48" i="27"/>
  <c r="I48" i="27"/>
  <c r="H48" i="27"/>
  <c r="G48" i="27"/>
  <c r="F48" i="27"/>
  <c r="M47" i="27"/>
  <c r="L47" i="27"/>
  <c r="K47" i="27"/>
  <c r="J47" i="27"/>
  <c r="I47" i="27"/>
  <c r="H47" i="27"/>
  <c r="G47" i="27"/>
  <c r="F47" i="27"/>
  <c r="E47" i="27"/>
  <c r="M46" i="27"/>
  <c r="L46" i="27"/>
  <c r="K46" i="27"/>
  <c r="J46" i="27"/>
  <c r="I46" i="27"/>
  <c r="H46" i="27"/>
  <c r="G46" i="27"/>
  <c r="F46" i="27"/>
  <c r="E46" i="27"/>
  <c r="D46" i="27"/>
  <c r="M45" i="27"/>
  <c r="L45" i="27"/>
  <c r="K45" i="27"/>
  <c r="J45" i="27"/>
  <c r="I45" i="27"/>
  <c r="H45" i="27"/>
  <c r="G45" i="27"/>
  <c r="F45" i="27"/>
  <c r="E45" i="27"/>
  <c r="D45" i="27"/>
  <c r="C45" i="27"/>
  <c r="M42" i="27"/>
  <c r="M41" i="27"/>
  <c r="L41" i="27"/>
  <c r="M40" i="27"/>
  <c r="L40" i="27"/>
  <c r="K40" i="27"/>
  <c r="M39" i="27"/>
  <c r="L39" i="27"/>
  <c r="K39" i="27"/>
  <c r="J39" i="27"/>
  <c r="M38" i="27"/>
  <c r="L38" i="27"/>
  <c r="K38" i="27"/>
  <c r="J38" i="27"/>
  <c r="I38" i="27"/>
  <c r="M37" i="27"/>
  <c r="L37" i="27"/>
  <c r="K37" i="27"/>
  <c r="J37" i="27"/>
  <c r="I37" i="27"/>
  <c r="H37" i="27"/>
  <c r="M36" i="27"/>
  <c r="L36" i="27"/>
  <c r="K36" i="27"/>
  <c r="J36" i="27"/>
  <c r="I36" i="27"/>
  <c r="H36" i="27"/>
  <c r="G36" i="27"/>
  <c r="M35" i="27"/>
  <c r="L35" i="27"/>
  <c r="K35" i="27"/>
  <c r="J35" i="27"/>
  <c r="I35" i="27"/>
  <c r="H35" i="27"/>
  <c r="G35" i="27"/>
  <c r="F35" i="27"/>
  <c r="M34" i="27"/>
  <c r="L34" i="27"/>
  <c r="K34" i="27"/>
  <c r="J34" i="27"/>
  <c r="I34" i="27"/>
  <c r="H34" i="27"/>
  <c r="G34" i="27"/>
  <c r="F34" i="27"/>
  <c r="E34" i="27"/>
  <c r="M33" i="27"/>
  <c r="L33" i="27"/>
  <c r="K33" i="27"/>
  <c r="J33" i="27"/>
  <c r="I33" i="27"/>
  <c r="H33" i="27"/>
  <c r="G33" i="27"/>
  <c r="F33" i="27"/>
  <c r="E33" i="27"/>
  <c r="D33" i="27"/>
  <c r="M32" i="27"/>
  <c r="L32" i="27"/>
  <c r="K32" i="27"/>
  <c r="J32" i="27"/>
  <c r="I32" i="27"/>
  <c r="H32" i="27"/>
  <c r="G32" i="27"/>
  <c r="F32" i="27"/>
  <c r="E32" i="27"/>
  <c r="D32" i="27"/>
  <c r="C32" i="27"/>
  <c r="M29" i="27"/>
  <c r="M28" i="27"/>
  <c r="L28" i="27"/>
  <c r="M27" i="27"/>
  <c r="L27" i="27"/>
  <c r="K27" i="27"/>
  <c r="M26" i="27"/>
  <c r="L26" i="27"/>
  <c r="K26" i="27"/>
  <c r="J26" i="27"/>
  <c r="M25" i="27"/>
  <c r="L25" i="27"/>
  <c r="K25" i="27"/>
  <c r="J25" i="27"/>
  <c r="I25" i="27"/>
  <c r="M24" i="27"/>
  <c r="L24" i="27"/>
  <c r="K24" i="27"/>
  <c r="J24" i="27"/>
  <c r="I24" i="27"/>
  <c r="H24" i="27"/>
  <c r="M23" i="27"/>
  <c r="L23" i="27"/>
  <c r="K23" i="27"/>
  <c r="J23" i="27"/>
  <c r="I23" i="27"/>
  <c r="H23" i="27"/>
  <c r="G23" i="27"/>
  <c r="M22" i="27"/>
  <c r="L22" i="27"/>
  <c r="K22" i="27"/>
  <c r="J22" i="27"/>
  <c r="I22" i="27"/>
  <c r="H22" i="27"/>
  <c r="G22" i="27"/>
  <c r="F22" i="27"/>
  <c r="M21" i="27"/>
  <c r="L21" i="27"/>
  <c r="K21" i="27"/>
  <c r="J21" i="27"/>
  <c r="I21" i="27"/>
  <c r="H21" i="27"/>
  <c r="G21" i="27"/>
  <c r="F21" i="27"/>
  <c r="E21" i="27"/>
  <c r="M20" i="27"/>
  <c r="L20" i="27"/>
  <c r="K20" i="27"/>
  <c r="J20" i="27"/>
  <c r="I20" i="27"/>
  <c r="H20" i="27"/>
  <c r="G20" i="27"/>
  <c r="E20" i="27"/>
  <c r="D20" i="27"/>
  <c r="M19" i="27"/>
  <c r="L19" i="27"/>
  <c r="K19" i="27"/>
  <c r="J19" i="27"/>
  <c r="I19" i="27"/>
  <c r="H19" i="27"/>
  <c r="F19" i="27"/>
  <c r="E19" i="27"/>
  <c r="D19" i="27"/>
  <c r="C19" i="27"/>
  <c r="M16" i="27"/>
  <c r="M15" i="27"/>
  <c r="L15" i="27"/>
  <c r="M14" i="27"/>
  <c r="L14" i="27"/>
  <c r="K14" i="27"/>
  <c r="M13" i="27"/>
  <c r="L13" i="27"/>
  <c r="K13" i="27"/>
  <c r="J13" i="27"/>
  <c r="M12" i="27"/>
  <c r="L12" i="27"/>
  <c r="K12" i="27"/>
  <c r="J12" i="27"/>
  <c r="I12" i="27"/>
  <c r="M11" i="27"/>
  <c r="L11" i="27"/>
  <c r="K11" i="27"/>
  <c r="J11" i="27"/>
  <c r="I11" i="27"/>
  <c r="H11" i="27"/>
  <c r="M10" i="27"/>
  <c r="L10" i="27"/>
  <c r="K10" i="27"/>
  <c r="J10" i="27"/>
  <c r="I10" i="27"/>
  <c r="H10" i="27"/>
  <c r="G10" i="27"/>
  <c r="M9" i="27"/>
  <c r="L9" i="27"/>
  <c r="K9" i="27"/>
  <c r="J9" i="27"/>
  <c r="I9" i="27"/>
  <c r="H9" i="27"/>
  <c r="G9" i="27"/>
  <c r="F9" i="27"/>
  <c r="M8" i="27"/>
  <c r="L8" i="27"/>
  <c r="K8" i="27"/>
  <c r="J8" i="27"/>
  <c r="I8" i="27"/>
  <c r="H8" i="27"/>
  <c r="G8" i="27"/>
  <c r="F8" i="27"/>
  <c r="E8" i="27"/>
  <c r="M7" i="27"/>
  <c r="L7" i="27"/>
  <c r="K7" i="27"/>
  <c r="J7" i="27"/>
  <c r="I7" i="27"/>
  <c r="H7" i="27"/>
  <c r="G7" i="27"/>
  <c r="F7" i="27"/>
  <c r="E7" i="27"/>
  <c r="D7" i="27"/>
  <c r="M6" i="27"/>
  <c r="L6" i="27"/>
  <c r="K6" i="27"/>
  <c r="J6" i="27"/>
  <c r="I6" i="27"/>
  <c r="H6" i="27"/>
  <c r="G6" i="27"/>
  <c r="F6" i="27"/>
  <c r="E6" i="27"/>
  <c r="D6" i="27"/>
  <c r="C6" i="27"/>
  <c r="P75" i="29" l="1"/>
  <c r="P83" i="29"/>
  <c r="P85" i="29"/>
  <c r="P84" i="29"/>
  <c r="P73" i="29"/>
  <c r="P74" i="29"/>
  <c r="P93" i="29"/>
  <c r="P76" i="29"/>
  <c r="P94" i="29"/>
  <c r="P77" i="29"/>
  <c r="P95" i="29"/>
  <c r="P78" i="29"/>
  <c r="P88" i="29"/>
  <c r="P79" i="29"/>
  <c r="P89" i="29"/>
  <c r="P104" i="29"/>
  <c r="P80" i="29"/>
  <c r="P98" i="29"/>
  <c r="P105" i="29"/>
  <c r="P106" i="29"/>
  <c r="P100" i="29"/>
  <c r="P107" i="29"/>
  <c r="P101" i="29"/>
  <c r="P108" i="29"/>
  <c r="P102" i="29"/>
  <c r="P109" i="29"/>
  <c r="P110" i="29"/>
  <c r="P86" i="29"/>
  <c r="P87" i="29"/>
  <c r="P96" i="29"/>
  <c r="P97" i="29"/>
  <c r="P90" i="29"/>
  <c r="P99" i="29"/>
  <c r="M39" i="29"/>
  <c r="M40" i="29" s="1"/>
  <c r="M41" i="29" s="1"/>
  <c r="P111" i="29"/>
  <c r="P71" i="29"/>
  <c r="P112" i="29"/>
  <c r="P72" i="29"/>
  <c r="P113" i="29"/>
  <c r="D76" i="29"/>
  <c r="E76" i="29" s="1"/>
  <c r="E75" i="29"/>
  <c r="D30" i="29"/>
  <c r="D8" i="29"/>
  <c r="E8" i="29" s="1"/>
  <c r="E74" i="29"/>
  <c r="N28" i="29"/>
  <c r="N29" i="29" s="1"/>
  <c r="N30" i="29" s="1"/>
  <c r="F18" i="29"/>
  <c r="F25" i="29" s="1"/>
  <c r="G40" i="29"/>
  <c r="G41" i="29" s="1"/>
  <c r="H84" i="29"/>
  <c r="H85" i="29" s="1"/>
  <c r="G84" i="29"/>
  <c r="G85" i="29" s="1"/>
  <c r="G91" i="29" s="1"/>
  <c r="F40" i="29"/>
  <c r="F47" i="29" s="1"/>
  <c r="J84" i="29"/>
  <c r="J85" i="29" s="1"/>
  <c r="L51" i="29"/>
  <c r="P51" i="29" s="1"/>
  <c r="G18" i="29"/>
  <c r="G19" i="29" s="1"/>
  <c r="G25" i="29" s="1"/>
  <c r="H18" i="29"/>
  <c r="I40" i="29"/>
  <c r="I41" i="29" s="1"/>
  <c r="I42" i="29" s="1"/>
  <c r="G73" i="29"/>
  <c r="I18" i="29"/>
  <c r="I19" i="29" s="1"/>
  <c r="J40" i="29"/>
  <c r="J41" i="29" s="1"/>
  <c r="H73" i="29"/>
  <c r="H74" i="29" s="1"/>
  <c r="H75" i="29" s="1"/>
  <c r="H80" i="29" s="1"/>
  <c r="K40" i="29"/>
  <c r="K41" i="29" s="1"/>
  <c r="K42" i="29" s="1"/>
  <c r="F95" i="29"/>
  <c r="F102" i="29" s="1"/>
  <c r="H29" i="29"/>
  <c r="L40" i="29"/>
  <c r="L41" i="29" s="1"/>
  <c r="K73" i="29"/>
  <c r="K74" i="29" s="1"/>
  <c r="G95" i="29"/>
  <c r="G96" i="29" s="1"/>
  <c r="G102" i="29" s="1"/>
  <c r="I29" i="29"/>
  <c r="I30" i="29" s="1"/>
  <c r="L73" i="29"/>
  <c r="I95" i="29"/>
  <c r="I96" i="29" s="1"/>
  <c r="I97" i="29" s="1"/>
  <c r="I73" i="29"/>
  <c r="I74" i="29" s="1"/>
  <c r="J29" i="29"/>
  <c r="J95" i="29"/>
  <c r="J96" i="29" s="1"/>
  <c r="J97" i="29" s="1"/>
  <c r="H40" i="29"/>
  <c r="L29" i="29"/>
  <c r="L30" i="29" s="1"/>
  <c r="G51" i="29"/>
  <c r="G52" i="29" s="1"/>
  <c r="G58" i="29" s="1"/>
  <c r="K7" i="29"/>
  <c r="K8" i="29" s="1"/>
  <c r="H51" i="29"/>
  <c r="H52" i="29" s="1"/>
  <c r="H53" i="29" s="1"/>
  <c r="F106" i="29"/>
  <c r="F113" i="29" s="1"/>
  <c r="K84" i="29"/>
  <c r="K85" i="29" s="1"/>
  <c r="K86" i="29" s="1"/>
  <c r="F51" i="29"/>
  <c r="F58" i="29" s="1"/>
  <c r="L7" i="29"/>
  <c r="P7" i="29" s="1"/>
  <c r="I51" i="29"/>
  <c r="I52" i="29" s="1"/>
  <c r="I53" i="29" s="1"/>
  <c r="H106" i="29"/>
  <c r="H107" i="29" s="1"/>
  <c r="H108" i="29" s="1"/>
  <c r="K29" i="29"/>
  <c r="K30" i="29" s="1"/>
  <c r="J51" i="29"/>
  <c r="J52" i="29" s="1"/>
  <c r="P14" i="29"/>
  <c r="K51" i="29"/>
  <c r="F84" i="29"/>
  <c r="F91" i="29" s="1"/>
  <c r="D64" i="29"/>
  <c r="E63" i="29"/>
  <c r="E19" i="29"/>
  <c r="E117" i="29"/>
  <c r="J73" i="29"/>
  <c r="J74" i="29" s="1"/>
  <c r="I84" i="29"/>
  <c r="I85" i="29" s="1"/>
  <c r="H95" i="29"/>
  <c r="G106" i="29"/>
  <c r="G107" i="29" s="1"/>
  <c r="F117" i="29"/>
  <c r="F127" i="29" s="1"/>
  <c r="I106" i="29"/>
  <c r="I107" i="29" s="1"/>
  <c r="K95" i="29"/>
  <c r="J106" i="29"/>
  <c r="J107" i="29" s="1"/>
  <c r="K18" i="29"/>
  <c r="D52" i="29"/>
  <c r="F62" i="29"/>
  <c r="F69" i="29" s="1"/>
  <c r="D85" i="29"/>
  <c r="L95" i="29"/>
  <c r="L96" i="29" s="1"/>
  <c r="K106" i="29"/>
  <c r="K107" i="29" s="1"/>
  <c r="J117" i="29"/>
  <c r="J18" i="29"/>
  <c r="E62" i="29"/>
  <c r="L84" i="29"/>
  <c r="L85" i="29" s="1"/>
  <c r="I117" i="29"/>
  <c r="I118" i="29" s="1"/>
  <c r="L18" i="29"/>
  <c r="P25" i="29"/>
  <c r="D41" i="29"/>
  <c r="E41" i="29" s="1"/>
  <c r="G62" i="29"/>
  <c r="G63" i="29" s="1"/>
  <c r="G74" i="29"/>
  <c r="G80" i="29" s="1"/>
  <c r="D96" i="29"/>
  <c r="L106" i="29"/>
  <c r="K117" i="29"/>
  <c r="F7" i="29"/>
  <c r="F14" i="29" s="1"/>
  <c r="H62" i="29"/>
  <c r="H63" i="29" s="1"/>
  <c r="D107" i="29"/>
  <c r="E107" i="29" s="1"/>
  <c r="L117" i="29"/>
  <c r="D19" i="29"/>
  <c r="J30" i="29"/>
  <c r="I62" i="29"/>
  <c r="M117" i="29"/>
  <c r="H117" i="29"/>
  <c r="H118" i="29" s="1"/>
  <c r="H119" i="29" s="1"/>
  <c r="H41" i="29"/>
  <c r="J62" i="29"/>
  <c r="J63" i="29" s="1"/>
  <c r="D77" i="29"/>
  <c r="N117" i="29"/>
  <c r="N118" i="29" s="1"/>
  <c r="G7" i="29"/>
  <c r="G8" i="29" s="1"/>
  <c r="H7" i="29"/>
  <c r="H8" i="29" s="1"/>
  <c r="I7" i="29"/>
  <c r="F29" i="29"/>
  <c r="F36" i="29" s="1"/>
  <c r="K62" i="29"/>
  <c r="O117" i="29"/>
  <c r="J7" i="29"/>
  <c r="J8" i="29" s="1"/>
  <c r="H19" i="29"/>
  <c r="H20" i="29" s="1"/>
  <c r="G29" i="29"/>
  <c r="G30" i="29" s="1"/>
  <c r="K52" i="29"/>
  <c r="L62" i="29"/>
  <c r="L63" i="29" s="1"/>
  <c r="L64" i="29" s="1"/>
  <c r="D118" i="29"/>
  <c r="E118" i="29" s="1"/>
  <c r="F73" i="29"/>
  <c r="F80" i="29" s="1"/>
  <c r="E107" i="19"/>
  <c r="D108" i="19"/>
  <c r="E108" i="19" s="1"/>
  <c r="E106" i="19"/>
  <c r="M67" i="26"/>
  <c r="M66" i="26"/>
  <c r="M65" i="26"/>
  <c r="M64" i="26"/>
  <c r="M63" i="26"/>
  <c r="M62" i="26"/>
  <c r="M61" i="26"/>
  <c r="M60" i="26"/>
  <c r="M58" i="26"/>
  <c r="L66" i="26"/>
  <c r="L65" i="26"/>
  <c r="L64" i="26"/>
  <c r="L63" i="26"/>
  <c r="L62" i="26"/>
  <c r="L60" i="26"/>
  <c r="L59" i="26"/>
  <c r="K65" i="26"/>
  <c r="K64" i="26"/>
  <c r="K63" i="26"/>
  <c r="K62" i="26"/>
  <c r="K61" i="26"/>
  <c r="K60" i="26"/>
  <c r="K59" i="26"/>
  <c r="J65" i="26"/>
  <c r="J64" i="26"/>
  <c r="J63" i="26"/>
  <c r="J62" i="26"/>
  <c r="J61" i="26"/>
  <c r="J60" i="26"/>
  <c r="J59" i="26"/>
  <c r="I63" i="26"/>
  <c r="I62" i="26"/>
  <c r="I61" i="26"/>
  <c r="I60" i="26"/>
  <c r="I59" i="26"/>
  <c r="H63" i="26"/>
  <c r="H62" i="26"/>
  <c r="H61" i="26"/>
  <c r="H60" i="26"/>
  <c r="H59" i="26"/>
  <c r="G62" i="26"/>
  <c r="G61" i="26"/>
  <c r="G60" i="26"/>
  <c r="G59" i="26"/>
  <c r="F61" i="26"/>
  <c r="F60" i="26"/>
  <c r="F59" i="26"/>
  <c r="F58" i="26"/>
  <c r="G47" i="26"/>
  <c r="E60" i="26"/>
  <c r="E59" i="26"/>
  <c r="E58" i="26"/>
  <c r="G58" i="26"/>
  <c r="H58" i="26"/>
  <c r="I58" i="26"/>
  <c r="K66" i="26"/>
  <c r="K58" i="26"/>
  <c r="L67" i="26"/>
  <c r="L61" i="26"/>
  <c r="L58" i="26"/>
  <c r="M68" i="26"/>
  <c r="M59" i="26"/>
  <c r="J58" i="26"/>
  <c r="D58" i="26"/>
  <c r="C58" i="26"/>
  <c r="M54" i="26"/>
  <c r="M53" i="26"/>
  <c r="M52" i="26"/>
  <c r="M51" i="26"/>
  <c r="M50" i="26"/>
  <c r="M48" i="26"/>
  <c r="M49" i="26"/>
  <c r="M47" i="26"/>
  <c r="M46" i="26"/>
  <c r="L53" i="26"/>
  <c r="L52" i="26"/>
  <c r="L51" i="26"/>
  <c r="L50" i="26"/>
  <c r="L49" i="26"/>
  <c r="L48" i="26"/>
  <c r="L47" i="26"/>
  <c r="L46" i="26"/>
  <c r="K52" i="26"/>
  <c r="K51" i="26"/>
  <c r="K50" i="26"/>
  <c r="K49" i="26"/>
  <c r="K48" i="26"/>
  <c r="K47" i="26"/>
  <c r="K46" i="26"/>
  <c r="J51" i="26"/>
  <c r="J50" i="26"/>
  <c r="J49" i="26"/>
  <c r="J48" i="26"/>
  <c r="J47" i="26"/>
  <c r="J46" i="26"/>
  <c r="I50" i="26"/>
  <c r="I49" i="26"/>
  <c r="I48" i="26"/>
  <c r="I47" i="26"/>
  <c r="I46" i="26"/>
  <c r="H49" i="26"/>
  <c r="H48" i="26"/>
  <c r="H47" i="26"/>
  <c r="H46" i="26"/>
  <c r="G48" i="26"/>
  <c r="G46" i="26"/>
  <c r="F47" i="26"/>
  <c r="F46" i="26"/>
  <c r="E46" i="26"/>
  <c r="M45" i="26"/>
  <c r="L45" i="26"/>
  <c r="K45" i="26"/>
  <c r="J45" i="26"/>
  <c r="I45" i="26"/>
  <c r="H45" i="26"/>
  <c r="G45" i="26"/>
  <c r="F45" i="26"/>
  <c r="E45" i="26"/>
  <c r="D45" i="26"/>
  <c r="C45" i="26"/>
  <c r="H50" i="26"/>
  <c r="G49" i="26"/>
  <c r="F48" i="26"/>
  <c r="E47" i="26"/>
  <c r="M39" i="26"/>
  <c r="M40" i="26"/>
  <c r="M37" i="26"/>
  <c r="M41" i="26"/>
  <c r="M38" i="26"/>
  <c r="M36" i="26"/>
  <c r="M35" i="26"/>
  <c r="M34" i="26"/>
  <c r="M33" i="26"/>
  <c r="L41" i="26"/>
  <c r="L40" i="26"/>
  <c r="L39" i="26"/>
  <c r="L38" i="26"/>
  <c r="L37" i="26"/>
  <c r="L36" i="26"/>
  <c r="L35" i="26"/>
  <c r="L34" i="26"/>
  <c r="L33" i="26"/>
  <c r="K39" i="26"/>
  <c r="K38" i="26"/>
  <c r="K37" i="26"/>
  <c r="K36" i="26"/>
  <c r="K35" i="26"/>
  <c r="K34" i="26"/>
  <c r="K33" i="26"/>
  <c r="J38" i="26"/>
  <c r="J37" i="26"/>
  <c r="J36" i="26"/>
  <c r="J35" i="26"/>
  <c r="J34" i="26"/>
  <c r="J33" i="26"/>
  <c r="I37" i="26"/>
  <c r="I36" i="26"/>
  <c r="I35" i="26"/>
  <c r="I34" i="26"/>
  <c r="I33" i="26"/>
  <c r="H37" i="26"/>
  <c r="H36" i="26"/>
  <c r="H35" i="26"/>
  <c r="H34" i="26"/>
  <c r="H33" i="26"/>
  <c r="G35" i="26"/>
  <c r="G34" i="26"/>
  <c r="G33" i="26"/>
  <c r="G32" i="26"/>
  <c r="F34" i="26"/>
  <c r="F33" i="26"/>
  <c r="E33" i="26"/>
  <c r="M15" i="26"/>
  <c r="M14" i="26"/>
  <c r="M13" i="26"/>
  <c r="M12" i="26"/>
  <c r="M11" i="26"/>
  <c r="M10" i="26"/>
  <c r="M9" i="26"/>
  <c r="M8" i="26"/>
  <c r="M7" i="26"/>
  <c r="L14" i="26"/>
  <c r="L13" i="26"/>
  <c r="L12" i="26"/>
  <c r="L11" i="26"/>
  <c r="L10" i="26"/>
  <c r="L9" i="26"/>
  <c r="L8" i="26"/>
  <c r="L7" i="26"/>
  <c r="K13" i="26"/>
  <c r="K12" i="26"/>
  <c r="K11" i="26"/>
  <c r="K10" i="26"/>
  <c r="K9" i="26"/>
  <c r="K8" i="26"/>
  <c r="K7" i="26"/>
  <c r="J12" i="26"/>
  <c r="J11" i="26"/>
  <c r="J10" i="26"/>
  <c r="J9" i="26"/>
  <c r="J8" i="26"/>
  <c r="J7" i="26"/>
  <c r="I11" i="26"/>
  <c r="I10" i="26"/>
  <c r="I9" i="26"/>
  <c r="I8" i="26"/>
  <c r="I7" i="26"/>
  <c r="H10" i="26"/>
  <c r="H9" i="26"/>
  <c r="H8" i="26"/>
  <c r="H7" i="26"/>
  <c r="G9" i="26"/>
  <c r="G8" i="26"/>
  <c r="G7" i="26"/>
  <c r="F8" i="26"/>
  <c r="F7" i="26"/>
  <c r="E7" i="26"/>
  <c r="M28" i="26"/>
  <c r="M27" i="26"/>
  <c r="M26" i="26"/>
  <c r="M25" i="26"/>
  <c r="M24" i="26"/>
  <c r="M23" i="26"/>
  <c r="M22" i="26"/>
  <c r="M21" i="26"/>
  <c r="M20" i="26"/>
  <c r="L27" i="26"/>
  <c r="L26" i="26"/>
  <c r="L25" i="26"/>
  <c r="L24" i="26"/>
  <c r="L23" i="26"/>
  <c r="L22" i="26"/>
  <c r="L21" i="26"/>
  <c r="L20" i="26"/>
  <c r="K26" i="26"/>
  <c r="K25" i="26"/>
  <c r="K24" i="26"/>
  <c r="K23" i="26"/>
  <c r="K22" i="26"/>
  <c r="K21" i="26"/>
  <c r="K20" i="26"/>
  <c r="J25" i="26"/>
  <c r="J24" i="26"/>
  <c r="J23" i="26"/>
  <c r="J22" i="26"/>
  <c r="J21" i="26"/>
  <c r="J20" i="26"/>
  <c r="I24" i="26"/>
  <c r="I23" i="26"/>
  <c r="I22" i="26"/>
  <c r="I21" i="26"/>
  <c r="I20" i="26"/>
  <c r="H23" i="26"/>
  <c r="H22" i="26"/>
  <c r="H21" i="26"/>
  <c r="H20" i="26"/>
  <c r="G22" i="26"/>
  <c r="G21" i="26"/>
  <c r="G20" i="26"/>
  <c r="F21" i="26"/>
  <c r="F20" i="26"/>
  <c r="E19" i="26"/>
  <c r="E20" i="26"/>
  <c r="M19" i="26"/>
  <c r="L19" i="26"/>
  <c r="K19" i="26"/>
  <c r="J19" i="26"/>
  <c r="I19" i="26"/>
  <c r="H19" i="26"/>
  <c r="G19" i="26"/>
  <c r="F19" i="26"/>
  <c r="D19" i="26"/>
  <c r="C19" i="26"/>
  <c r="M32" i="26"/>
  <c r="L32" i="26"/>
  <c r="K32" i="26"/>
  <c r="J32" i="26"/>
  <c r="I32" i="26"/>
  <c r="H32" i="26"/>
  <c r="F32" i="26"/>
  <c r="E32" i="26"/>
  <c r="D32" i="26"/>
  <c r="C32" i="26"/>
  <c r="D59" i="26"/>
  <c r="I64" i="26"/>
  <c r="M55" i="26"/>
  <c r="L54" i="26"/>
  <c r="K53" i="26"/>
  <c r="J52" i="26"/>
  <c r="I51" i="26"/>
  <c r="D46" i="26"/>
  <c r="M42" i="26"/>
  <c r="K40" i="26"/>
  <c r="J39" i="26"/>
  <c r="I38" i="26"/>
  <c r="G36" i="26"/>
  <c r="F35" i="26"/>
  <c r="E34" i="26"/>
  <c r="D33" i="26"/>
  <c r="M29" i="26"/>
  <c r="L28" i="26"/>
  <c r="K27" i="26"/>
  <c r="J26" i="26"/>
  <c r="I25" i="26"/>
  <c r="H24" i="26"/>
  <c r="G23" i="26"/>
  <c r="F22" i="26"/>
  <c r="E21" i="26"/>
  <c r="D20" i="26"/>
  <c r="M16" i="26"/>
  <c r="L15" i="26"/>
  <c r="K14" i="26"/>
  <c r="J13" i="26"/>
  <c r="I12" i="26"/>
  <c r="H11" i="26"/>
  <c r="G10" i="26"/>
  <c r="F9" i="26"/>
  <c r="E8" i="26"/>
  <c r="D7" i="26"/>
  <c r="M6" i="26"/>
  <c r="L6" i="26"/>
  <c r="K6" i="26"/>
  <c r="J6" i="26"/>
  <c r="I6" i="26"/>
  <c r="H6" i="26"/>
  <c r="G6" i="26"/>
  <c r="F6" i="26"/>
  <c r="E6" i="26"/>
  <c r="D6" i="26"/>
  <c r="C6" i="26"/>
  <c r="I9" i="20"/>
  <c r="I8" i="20"/>
  <c r="G4" i="24"/>
  <c r="H4" i="24"/>
  <c r="K4" i="24" s="1"/>
  <c r="L4" i="24" s="1"/>
  <c r="J4" i="24"/>
  <c r="Q4" i="24"/>
  <c r="G5" i="24"/>
  <c r="H5" i="24"/>
  <c r="M5" i="24" s="1"/>
  <c r="N5" i="24" s="1"/>
  <c r="I5" i="24"/>
  <c r="J5" i="24"/>
  <c r="B6" i="24"/>
  <c r="G6" i="24"/>
  <c r="H6" i="24"/>
  <c r="K6" i="24" s="1"/>
  <c r="I6" i="24"/>
  <c r="J6" i="24"/>
  <c r="G7" i="24"/>
  <c r="H7" i="24"/>
  <c r="K7" i="24" s="1"/>
  <c r="I7" i="24"/>
  <c r="J7" i="24"/>
  <c r="G8" i="24"/>
  <c r="H8" i="24"/>
  <c r="M8" i="24" s="1"/>
  <c r="N8" i="24" s="1"/>
  <c r="I8" i="24"/>
  <c r="J8" i="24"/>
  <c r="G9" i="24"/>
  <c r="H9" i="24"/>
  <c r="K9" i="24" s="1"/>
  <c r="I9" i="24"/>
  <c r="J9" i="24"/>
  <c r="G10" i="24"/>
  <c r="H10" i="24"/>
  <c r="I10" i="24"/>
  <c r="J10" i="24"/>
  <c r="G11" i="24"/>
  <c r="H11" i="24"/>
  <c r="I11" i="24"/>
  <c r="J11" i="24"/>
  <c r="G12" i="24"/>
  <c r="H12" i="24"/>
  <c r="M12" i="24" s="1"/>
  <c r="N12" i="24" s="1"/>
  <c r="I12" i="24"/>
  <c r="J12" i="24"/>
  <c r="G13" i="24"/>
  <c r="H13" i="24"/>
  <c r="I13" i="24"/>
  <c r="J13" i="24"/>
  <c r="G14" i="24"/>
  <c r="H14" i="24"/>
  <c r="K14" i="24" s="1"/>
  <c r="I14" i="24"/>
  <c r="J14" i="24"/>
  <c r="M42" i="29" l="1"/>
  <c r="G47" i="29"/>
  <c r="D9" i="29"/>
  <c r="I119" i="29"/>
  <c r="I120" i="29" s="1"/>
  <c r="G127" i="29"/>
  <c r="E9" i="29"/>
  <c r="E30" i="29"/>
  <c r="D31" i="29"/>
  <c r="D32" i="29" s="1"/>
  <c r="E32" i="29" s="1"/>
  <c r="J64" i="29"/>
  <c r="J65" i="29" s="1"/>
  <c r="J66" i="29" s="1"/>
  <c r="N31" i="29"/>
  <c r="L42" i="29"/>
  <c r="L52" i="29"/>
  <c r="L53" i="29" s="1"/>
  <c r="I31" i="29"/>
  <c r="J86" i="29"/>
  <c r="J87" i="29" s="1"/>
  <c r="J88" i="29" s="1"/>
  <c r="K108" i="29"/>
  <c r="K109" i="29" s="1"/>
  <c r="L74" i="29"/>
  <c r="L75" i="29" s="1"/>
  <c r="H30" i="29"/>
  <c r="H31" i="29" s="1"/>
  <c r="K87" i="29"/>
  <c r="K88" i="29" s="1"/>
  <c r="L8" i="29"/>
  <c r="I20" i="29"/>
  <c r="I21" i="29" s="1"/>
  <c r="H64" i="29"/>
  <c r="G14" i="29"/>
  <c r="J31" i="29"/>
  <c r="J32" i="29" s="1"/>
  <c r="H69" i="29"/>
  <c r="I43" i="29"/>
  <c r="J53" i="29"/>
  <c r="J54" i="29" s="1"/>
  <c r="L43" i="29"/>
  <c r="I86" i="29"/>
  <c r="I75" i="29"/>
  <c r="D119" i="29"/>
  <c r="J108" i="29"/>
  <c r="D78" i="29"/>
  <c r="O118" i="29"/>
  <c r="O119" i="29" s="1"/>
  <c r="D42" i="29"/>
  <c r="E42" i="29" s="1"/>
  <c r="K43" i="29"/>
  <c r="K44" i="29" s="1"/>
  <c r="O40" i="29"/>
  <c r="K118" i="29"/>
  <c r="I108" i="29"/>
  <c r="I109" i="29" s="1"/>
  <c r="K75" i="29"/>
  <c r="I63" i="29"/>
  <c r="L107" i="29"/>
  <c r="D33" i="29"/>
  <c r="E33" i="29" s="1"/>
  <c r="J42" i="29"/>
  <c r="K19" i="29"/>
  <c r="J75" i="29"/>
  <c r="J76" i="29" s="1"/>
  <c r="D65" i="29"/>
  <c r="E65" i="29" s="1"/>
  <c r="K96" i="29"/>
  <c r="K97" i="29" s="1"/>
  <c r="G36" i="29"/>
  <c r="I54" i="29"/>
  <c r="K31" i="29"/>
  <c r="E64" i="29"/>
  <c r="D97" i="29"/>
  <c r="D86" i="29"/>
  <c r="E86" i="29" s="1"/>
  <c r="K9" i="29"/>
  <c r="K10" i="29" s="1"/>
  <c r="E85" i="29"/>
  <c r="N119" i="29"/>
  <c r="J19" i="29"/>
  <c r="E96" i="29"/>
  <c r="G113" i="29"/>
  <c r="D108" i="29"/>
  <c r="E108" i="29" s="1"/>
  <c r="P18" i="29"/>
  <c r="L19" i="29"/>
  <c r="E77" i="29"/>
  <c r="D10" i="29"/>
  <c r="E10" i="29" s="1"/>
  <c r="P117" i="29"/>
  <c r="J98" i="29"/>
  <c r="J99" i="29" s="1"/>
  <c r="L118" i="29"/>
  <c r="L119" i="29" s="1"/>
  <c r="G69" i="29"/>
  <c r="M118" i="29"/>
  <c r="J118" i="29"/>
  <c r="L31" i="29"/>
  <c r="H86" i="29"/>
  <c r="L86" i="29"/>
  <c r="H9" i="29"/>
  <c r="H14" i="29" s="1"/>
  <c r="I98" i="29"/>
  <c r="P29" i="29"/>
  <c r="P30" i="29" s="1"/>
  <c r="P31" i="29" s="1"/>
  <c r="L9" i="29"/>
  <c r="J9" i="29"/>
  <c r="J10" i="29" s="1"/>
  <c r="I8" i="29"/>
  <c r="I9" i="29" s="1"/>
  <c r="H42" i="29"/>
  <c r="H47" i="29" s="1"/>
  <c r="D53" i="29"/>
  <c r="H58" i="29" s="1"/>
  <c r="K53" i="29"/>
  <c r="K54" i="29" s="1"/>
  <c r="K55" i="29" s="1"/>
  <c r="O62" i="29"/>
  <c r="O63" i="29" s="1"/>
  <c r="O64" i="29" s="1"/>
  <c r="L65" i="29"/>
  <c r="L66" i="29" s="1"/>
  <c r="L67" i="29" s="1"/>
  <c r="L68" i="29" s="1"/>
  <c r="K63" i="29"/>
  <c r="H96" i="29"/>
  <c r="D20" i="29"/>
  <c r="H25" i="29" s="1"/>
  <c r="L97" i="29"/>
  <c r="L98" i="29" s="1"/>
  <c r="E52" i="29"/>
  <c r="D109" i="19"/>
  <c r="E109" i="19" s="1"/>
  <c r="K8" i="24"/>
  <c r="M7" i="24"/>
  <c r="N7" i="24" s="1"/>
  <c r="P4" i="24"/>
  <c r="M4" i="24"/>
  <c r="K13" i="24"/>
  <c r="K12" i="24"/>
  <c r="M11" i="24"/>
  <c r="N11" i="24" s="1"/>
  <c r="M9" i="24"/>
  <c r="N9" i="24" s="1"/>
  <c r="K11" i="24"/>
  <c r="B8" i="24"/>
  <c r="M14" i="24"/>
  <c r="N14" i="24" s="1"/>
  <c r="M10" i="24"/>
  <c r="N10" i="24" s="1"/>
  <c r="K5" i="24"/>
  <c r="L6" i="24" s="1"/>
  <c r="M6" i="24"/>
  <c r="N6" i="24" s="1"/>
  <c r="K10" i="24"/>
  <c r="P52" i="29" l="1"/>
  <c r="D110" i="19"/>
  <c r="E110" i="19" s="1"/>
  <c r="M43" i="29"/>
  <c r="I32" i="29"/>
  <c r="I36" i="29" s="1"/>
  <c r="L54" i="29"/>
  <c r="L55" i="29" s="1"/>
  <c r="E31" i="29"/>
  <c r="H91" i="29"/>
  <c r="H36" i="29"/>
  <c r="N32" i="29"/>
  <c r="P32" i="29"/>
  <c r="L10" i="29"/>
  <c r="L11" i="29" s="1"/>
  <c r="P53" i="29"/>
  <c r="P54" i="29" s="1"/>
  <c r="P8" i="29"/>
  <c r="P9" i="29" s="1"/>
  <c r="P10" i="29" s="1"/>
  <c r="K89" i="29"/>
  <c r="P118" i="29"/>
  <c r="P119" i="29" s="1"/>
  <c r="O41" i="29"/>
  <c r="L76" i="29"/>
  <c r="L77" i="29" s="1"/>
  <c r="L78" i="29" s="1"/>
  <c r="L79" i="29" s="1"/>
  <c r="O65" i="29"/>
  <c r="O66" i="29" s="1"/>
  <c r="O67" i="29" s="1"/>
  <c r="O68" i="29" s="1"/>
  <c r="J33" i="29"/>
  <c r="J36" i="29" s="1"/>
  <c r="P19" i="29"/>
  <c r="N120" i="29"/>
  <c r="N121" i="29" s="1"/>
  <c r="D120" i="29"/>
  <c r="E120" i="29"/>
  <c r="J119" i="29"/>
  <c r="J120" i="29"/>
  <c r="L20" i="29"/>
  <c r="L21" i="29" s="1"/>
  <c r="I64" i="29"/>
  <c r="I65" i="29" s="1"/>
  <c r="H97" i="29"/>
  <c r="H102" i="29" s="1"/>
  <c r="E119" i="29"/>
  <c r="L87" i="29"/>
  <c r="L88" i="29" s="1"/>
  <c r="K32" i="29"/>
  <c r="K33" i="29" s="1"/>
  <c r="K34" i="29" s="1"/>
  <c r="K98" i="29"/>
  <c r="K99" i="29" s="1"/>
  <c r="K100" i="29" s="1"/>
  <c r="K45" i="29"/>
  <c r="J109" i="29"/>
  <c r="J110" i="29" s="1"/>
  <c r="L120" i="29"/>
  <c r="L121" i="29" s="1"/>
  <c r="H127" i="29"/>
  <c r="L108" i="29"/>
  <c r="L109" i="29" s="1"/>
  <c r="D54" i="29"/>
  <c r="I58" i="29" s="1"/>
  <c r="E53" i="29"/>
  <c r="K56" i="29"/>
  <c r="D109" i="29"/>
  <c r="E109" i="29" s="1"/>
  <c r="K76" i="29"/>
  <c r="L44" i="29"/>
  <c r="L45" i="29" s="1"/>
  <c r="J43" i="29"/>
  <c r="J44" i="29" s="1"/>
  <c r="I87" i="29"/>
  <c r="I91" i="29" s="1"/>
  <c r="K11" i="29"/>
  <c r="K12" i="29" s="1"/>
  <c r="K110" i="29"/>
  <c r="K111" i="29" s="1"/>
  <c r="D43" i="29"/>
  <c r="E43" i="29" s="1"/>
  <c r="J55" i="29"/>
  <c r="E34" i="29"/>
  <c r="D34" i="29"/>
  <c r="J20" i="29"/>
  <c r="D21" i="29"/>
  <c r="I25" i="29"/>
  <c r="K64" i="29"/>
  <c r="K20" i="29"/>
  <c r="K21" i="29" s="1"/>
  <c r="O120" i="29"/>
  <c r="L32" i="29"/>
  <c r="J80" i="29"/>
  <c r="I10" i="29"/>
  <c r="I14" i="29" s="1"/>
  <c r="D87" i="29"/>
  <c r="E87" i="29" s="1"/>
  <c r="K119" i="29"/>
  <c r="K120" i="29" s="1"/>
  <c r="I76" i="29"/>
  <c r="I80" i="29" s="1"/>
  <c r="H113" i="29"/>
  <c r="J77" i="29"/>
  <c r="D98" i="29"/>
  <c r="I127" i="29"/>
  <c r="D79" i="29"/>
  <c r="E20" i="29"/>
  <c r="D66" i="29"/>
  <c r="E66" i="29" s="1"/>
  <c r="J11" i="29"/>
  <c r="J14" i="29" s="1"/>
  <c r="E11" i="29"/>
  <c r="D11" i="29"/>
  <c r="E97" i="29"/>
  <c r="M119" i="29"/>
  <c r="M120" i="29" s="1"/>
  <c r="L99" i="29"/>
  <c r="L100" i="29" s="1"/>
  <c r="E78" i="29"/>
  <c r="L11" i="24"/>
  <c r="L12" i="24"/>
  <c r="L8" i="24"/>
  <c r="L13" i="24"/>
  <c r="L14" i="24"/>
  <c r="L10" i="24"/>
  <c r="M13" i="24"/>
  <c r="N13" i="24" s="1"/>
  <c r="L9" i="24"/>
  <c r="N4" i="24"/>
  <c r="O9" i="24" s="1"/>
  <c r="O4" i="24"/>
  <c r="K15" i="24"/>
  <c r="L5" i="24"/>
  <c r="B12" i="24" s="1"/>
  <c r="L7" i="24"/>
  <c r="D111" i="19" l="1"/>
  <c r="E111" i="19" s="1"/>
  <c r="M44" i="29"/>
  <c r="P55" i="29"/>
  <c r="L56" i="29"/>
  <c r="L57" i="29" s="1"/>
  <c r="L80" i="29"/>
  <c r="O42" i="29"/>
  <c r="N33" i="29"/>
  <c r="P20" i="29"/>
  <c r="P21" i="29" s="1"/>
  <c r="P56" i="29"/>
  <c r="P57" i="29" s="1"/>
  <c r="P120" i="29"/>
  <c r="I69" i="29"/>
  <c r="J102" i="29"/>
  <c r="D12" i="29"/>
  <c r="K14" i="29" s="1"/>
  <c r="D110" i="29"/>
  <c r="L122" i="29"/>
  <c r="L123" i="29" s="1"/>
  <c r="P121" i="29"/>
  <c r="E21" i="29"/>
  <c r="D121" i="29"/>
  <c r="E121" i="29" s="1"/>
  <c r="D67" i="29"/>
  <c r="L12" i="29"/>
  <c r="L13" i="29" s="1"/>
  <c r="K121" i="29"/>
  <c r="K122" i="29" s="1"/>
  <c r="K65" i="29"/>
  <c r="J21" i="29"/>
  <c r="J22" i="29"/>
  <c r="D55" i="29"/>
  <c r="J58" i="29" s="1"/>
  <c r="L101" i="29"/>
  <c r="I102" i="29"/>
  <c r="P11" i="29"/>
  <c r="J69" i="29"/>
  <c r="E54" i="29"/>
  <c r="N122" i="29"/>
  <c r="N123" i="29" s="1"/>
  <c r="E98" i="29"/>
  <c r="D35" i="29"/>
  <c r="E35" i="29" s="1"/>
  <c r="D99" i="29"/>
  <c r="O121" i="29"/>
  <c r="L22" i="29"/>
  <c r="L23" i="29" s="1"/>
  <c r="L46" i="29"/>
  <c r="J121" i="29"/>
  <c r="I47" i="29"/>
  <c r="D22" i="29"/>
  <c r="E22" i="29"/>
  <c r="K22" i="29"/>
  <c r="K36" i="29"/>
  <c r="M121" i="29"/>
  <c r="M122" i="29" s="1"/>
  <c r="E79" i="29"/>
  <c r="K77" i="29"/>
  <c r="K78" i="29" s="1"/>
  <c r="K80" i="29" s="1"/>
  <c r="L33" i="29"/>
  <c r="L34" i="29" s="1"/>
  <c r="L24" i="29"/>
  <c r="L110" i="29"/>
  <c r="D44" i="29"/>
  <c r="D88" i="29"/>
  <c r="J91" i="29"/>
  <c r="L89" i="29"/>
  <c r="L90" i="29" s="1"/>
  <c r="I113" i="29"/>
  <c r="P9" i="24"/>
  <c r="R9" i="24" s="1"/>
  <c r="Q9" i="24"/>
  <c r="O10" i="24"/>
  <c r="O11" i="24"/>
  <c r="O5" i="24"/>
  <c r="Q5" i="24" s="1"/>
  <c r="O8" i="24"/>
  <c r="O12" i="24"/>
  <c r="O13" i="24"/>
  <c r="O6" i="24"/>
  <c r="Q6" i="24" s="1"/>
  <c r="O14" i="24"/>
  <c r="P5" i="24"/>
  <c r="R5" i="24" s="1"/>
  <c r="O7" i="24"/>
  <c r="D112" i="19" l="1"/>
  <c r="E112" i="19" s="1"/>
  <c r="M45" i="29"/>
  <c r="M46" i="29" s="1"/>
  <c r="J25" i="29"/>
  <c r="O43" i="29"/>
  <c r="J127" i="29"/>
  <c r="N34" i="29"/>
  <c r="N35" i="29" s="1"/>
  <c r="P33" i="29"/>
  <c r="P34" i="29" s="1"/>
  <c r="E55" i="29"/>
  <c r="D122" i="29"/>
  <c r="D45" i="29"/>
  <c r="E45" i="29" s="1"/>
  <c r="E44" i="29"/>
  <c r="D56" i="29"/>
  <c r="K58" i="29" s="1"/>
  <c r="D111" i="29"/>
  <c r="K113" i="29"/>
  <c r="K66" i="29"/>
  <c r="K67" i="29" s="1"/>
  <c r="E110" i="29"/>
  <c r="N124" i="29"/>
  <c r="N125" i="29" s="1"/>
  <c r="E12" i="29"/>
  <c r="J47" i="29"/>
  <c r="P12" i="29"/>
  <c r="P13" i="29" s="1"/>
  <c r="L35" i="29"/>
  <c r="L36" i="29" s="1"/>
  <c r="D13" i="29"/>
  <c r="L14" i="29" s="1"/>
  <c r="E13" i="29"/>
  <c r="J113" i="29"/>
  <c r="P22" i="29"/>
  <c r="P23" i="29" s="1"/>
  <c r="P24" i="29" s="1"/>
  <c r="D89" i="29"/>
  <c r="D68" i="29"/>
  <c r="L69" i="29" s="1"/>
  <c r="E68" i="29"/>
  <c r="D23" i="29"/>
  <c r="L111" i="29"/>
  <c r="L112" i="29" s="1"/>
  <c r="O122" i="29"/>
  <c r="P122" i="29" s="1"/>
  <c r="K23" i="29"/>
  <c r="M123" i="29"/>
  <c r="D100" i="29"/>
  <c r="E88" i="29"/>
  <c r="M124" i="29"/>
  <c r="E99" i="29"/>
  <c r="E67" i="29"/>
  <c r="P6" i="24"/>
  <c r="R6" i="24" s="1"/>
  <c r="P14" i="24"/>
  <c r="R14" i="24" s="1"/>
  <c r="Q14" i="24"/>
  <c r="Q8" i="24"/>
  <c r="P8" i="24"/>
  <c r="R8" i="24" s="1"/>
  <c r="Q11" i="24"/>
  <c r="P11" i="24"/>
  <c r="R11" i="24" s="1"/>
  <c r="Q13" i="24"/>
  <c r="P13" i="24"/>
  <c r="R13" i="24" s="1"/>
  <c r="Q10" i="24"/>
  <c r="P10" i="24"/>
  <c r="R10" i="24" s="1"/>
  <c r="Q12" i="24"/>
  <c r="P12" i="24"/>
  <c r="R12" i="24" s="1"/>
  <c r="P7" i="24"/>
  <c r="R7" i="24" s="1"/>
  <c r="Q7" i="24"/>
  <c r="H2" i="19"/>
  <c r="D51" i="19"/>
  <c r="P72" i="19" l="1"/>
  <c r="P74" i="19"/>
  <c r="P73" i="19"/>
  <c r="P80" i="19"/>
  <c r="P79" i="19"/>
  <c r="P78" i="19"/>
  <c r="P77" i="19"/>
  <c r="M39" i="19"/>
  <c r="M40" i="19" s="1"/>
  <c r="P76" i="19"/>
  <c r="P75" i="19"/>
  <c r="P71" i="19"/>
  <c r="K25" i="29"/>
  <c r="N36" i="29"/>
  <c r="O123" i="29"/>
  <c r="O124" i="29" s="1"/>
  <c r="D46" i="29"/>
  <c r="E46" i="29" s="1"/>
  <c r="K47" i="29"/>
  <c r="L47" i="29"/>
  <c r="K69" i="29"/>
  <c r="D123" i="29"/>
  <c r="D90" i="29"/>
  <c r="E90" i="29" s="1"/>
  <c r="L91" i="29"/>
  <c r="K91" i="29"/>
  <c r="O44" i="29"/>
  <c r="O45" i="29" s="1"/>
  <c r="E122" i="29"/>
  <c r="D101" i="29"/>
  <c r="E101" i="29" s="1"/>
  <c r="K102" i="29"/>
  <c r="D112" i="29"/>
  <c r="L113" i="29" s="1"/>
  <c r="P35" i="29"/>
  <c r="P36" i="29" s="1"/>
  <c r="E100" i="29"/>
  <c r="D57" i="29"/>
  <c r="L58" i="29" s="1"/>
  <c r="D24" i="29"/>
  <c r="L25" i="29" s="1"/>
  <c r="E56" i="29"/>
  <c r="E111" i="29"/>
  <c r="K127" i="29"/>
  <c r="E23" i="29"/>
  <c r="E89" i="29"/>
  <c r="K117" i="19"/>
  <c r="K118" i="19" s="1"/>
  <c r="K119" i="19" s="1"/>
  <c r="K120" i="19" s="1"/>
  <c r="K121" i="19" s="1"/>
  <c r="K122" i="19" s="1"/>
  <c r="I117" i="19"/>
  <c r="I118" i="19" s="1"/>
  <c r="I119" i="19" s="1"/>
  <c r="J117" i="19"/>
  <c r="J118" i="19" s="1"/>
  <c r="J119" i="19" s="1"/>
  <c r="L117" i="19"/>
  <c r="L118" i="19" s="1"/>
  <c r="H117" i="19"/>
  <c r="H118" i="19" s="1"/>
  <c r="F117" i="19"/>
  <c r="G117" i="19"/>
  <c r="G118" i="19" s="1"/>
  <c r="O117" i="19"/>
  <c r="O118" i="19" s="1"/>
  <c r="N117" i="19"/>
  <c r="M117" i="19"/>
  <c r="M118" i="19" s="1"/>
  <c r="L106" i="19"/>
  <c r="L107" i="19" s="1"/>
  <c r="K106" i="19"/>
  <c r="J106" i="19"/>
  <c r="J107" i="19" s="1"/>
  <c r="I106" i="19"/>
  <c r="H106" i="19"/>
  <c r="H107" i="19" s="1"/>
  <c r="H108" i="19" s="1"/>
  <c r="G106" i="19"/>
  <c r="G107" i="19" s="1"/>
  <c r="F106" i="19"/>
  <c r="F113" i="19" s="1"/>
  <c r="L95" i="19"/>
  <c r="K95" i="19"/>
  <c r="J95" i="19"/>
  <c r="I95" i="19"/>
  <c r="H95" i="19"/>
  <c r="F95" i="19"/>
  <c r="G95" i="19"/>
  <c r="L84" i="19"/>
  <c r="G84" i="19"/>
  <c r="G85" i="19" s="1"/>
  <c r="K84" i="19"/>
  <c r="J84" i="19"/>
  <c r="F84" i="19"/>
  <c r="I84" i="19"/>
  <c r="H84" i="19"/>
  <c r="F73" i="19"/>
  <c r="L73" i="19"/>
  <c r="F62" i="19"/>
  <c r="K73" i="19"/>
  <c r="J73" i="19"/>
  <c r="G62" i="19"/>
  <c r="G63" i="19" s="1"/>
  <c r="F40" i="19"/>
  <c r="I73" i="19"/>
  <c r="H73" i="19"/>
  <c r="G73" i="19"/>
  <c r="I51" i="19"/>
  <c r="I52" i="19" s="1"/>
  <c r="H62" i="19"/>
  <c r="H63" i="19" s="1"/>
  <c r="H64" i="19" s="1"/>
  <c r="H51" i="19"/>
  <c r="H52" i="19" s="1"/>
  <c r="H53" i="19" s="1"/>
  <c r="L62" i="19"/>
  <c r="K62" i="19"/>
  <c r="K63" i="19" s="1"/>
  <c r="K64" i="19" s="1"/>
  <c r="G51" i="19"/>
  <c r="G52" i="19" s="1"/>
  <c r="I62" i="19"/>
  <c r="I63" i="19" s="1"/>
  <c r="J62" i="19"/>
  <c r="J51" i="19"/>
  <c r="L51" i="19"/>
  <c r="L52" i="19" s="1"/>
  <c r="L53" i="19" s="1"/>
  <c r="F18" i="19"/>
  <c r="F25" i="19" s="1"/>
  <c r="F7" i="19"/>
  <c r="K51" i="19"/>
  <c r="K52" i="19" s="1"/>
  <c r="G40" i="19"/>
  <c r="G41" i="19" s="1"/>
  <c r="F51" i="19"/>
  <c r="F58" i="19" s="1"/>
  <c r="L40" i="19"/>
  <c r="L41" i="19" s="1"/>
  <c r="I29" i="19"/>
  <c r="H30" i="19" s="1"/>
  <c r="K29" i="19"/>
  <c r="K30" i="19" s="1"/>
  <c r="J29" i="19"/>
  <c r="J30" i="19" s="1"/>
  <c r="J40" i="19"/>
  <c r="L29" i="19"/>
  <c r="K40" i="19"/>
  <c r="I40" i="19"/>
  <c r="H29" i="19"/>
  <c r="H40" i="19"/>
  <c r="H41" i="19" s="1"/>
  <c r="F29" i="19"/>
  <c r="N28" i="19"/>
  <c r="P29" i="19" s="1"/>
  <c r="G29" i="19"/>
  <c r="G30" i="19" s="1"/>
  <c r="H7" i="19"/>
  <c r="H8" i="19" s="1"/>
  <c r="H9" i="19" s="1"/>
  <c r="J7" i="19"/>
  <c r="J8" i="19" s="1"/>
  <c r="J9" i="19" s="1"/>
  <c r="J10" i="19" s="1"/>
  <c r="G7" i="19"/>
  <c r="G8" i="19" s="1"/>
  <c r="I7" i="19"/>
  <c r="J18" i="19"/>
  <c r="K7" i="19"/>
  <c r="L7" i="19"/>
  <c r="L8" i="19" s="1"/>
  <c r="I18" i="19"/>
  <c r="I19" i="19" s="1"/>
  <c r="I20" i="19" s="1"/>
  <c r="G18" i="19"/>
  <c r="G19" i="19" s="1"/>
  <c r="L18" i="19"/>
  <c r="H18" i="19"/>
  <c r="K18" i="19"/>
  <c r="P14" i="19"/>
  <c r="P25" i="19"/>
  <c r="D52" i="19"/>
  <c r="E52" i="19" s="1"/>
  <c r="E51" i="19"/>
  <c r="O125" i="29" l="1"/>
  <c r="O126" i="29" s="1"/>
  <c r="M41" i="19"/>
  <c r="M42" i="19"/>
  <c r="N29" i="19"/>
  <c r="E24" i="29"/>
  <c r="E57" i="29"/>
  <c r="L102" i="29"/>
  <c r="P123" i="29"/>
  <c r="P124" i="29" s="1"/>
  <c r="D124" i="29"/>
  <c r="L127" i="29"/>
  <c r="P37" i="29"/>
  <c r="E123" i="29"/>
  <c r="E112" i="29"/>
  <c r="P125" i="29"/>
  <c r="P126" i="29" s="1"/>
  <c r="O46" i="29"/>
  <c r="O47" i="29" s="1"/>
  <c r="M127" i="29"/>
  <c r="H119" i="19"/>
  <c r="O119" i="19"/>
  <c r="O120" i="19" s="1"/>
  <c r="M119" i="19"/>
  <c r="M120" i="19" s="1"/>
  <c r="L119" i="19"/>
  <c r="G113" i="19"/>
  <c r="G25" i="19"/>
  <c r="G58" i="19"/>
  <c r="N118" i="19"/>
  <c r="H113" i="19"/>
  <c r="J120" i="19"/>
  <c r="I120" i="19"/>
  <c r="I107" i="19"/>
  <c r="I108" i="19" s="1"/>
  <c r="J108" i="19"/>
  <c r="L108" i="19"/>
  <c r="L109" i="19" s="1"/>
  <c r="L110" i="19" s="1"/>
  <c r="K107" i="19"/>
  <c r="K96" i="19"/>
  <c r="K97" i="19" s="1"/>
  <c r="K98" i="19" s="1"/>
  <c r="K99" i="19" s="1"/>
  <c r="K100" i="19" s="1"/>
  <c r="G96" i="19"/>
  <c r="H96" i="19"/>
  <c r="I96" i="19"/>
  <c r="J96" i="19"/>
  <c r="J97" i="19" s="1"/>
  <c r="L96" i="19"/>
  <c r="L97" i="19" s="1"/>
  <c r="L98" i="19" s="1"/>
  <c r="L99" i="19" s="1"/>
  <c r="L100" i="19" s="1"/>
  <c r="L101" i="19" s="1"/>
  <c r="J85" i="19"/>
  <c r="H85" i="19"/>
  <c r="H86" i="19" s="1"/>
  <c r="K85" i="19"/>
  <c r="I85" i="19"/>
  <c r="L85" i="19"/>
  <c r="J74" i="19"/>
  <c r="J75" i="19" s="1"/>
  <c r="J76" i="19" s="1"/>
  <c r="J77" i="19" s="1"/>
  <c r="I74" i="19"/>
  <c r="I75" i="19" s="1"/>
  <c r="I76" i="19" s="1"/>
  <c r="K74" i="19"/>
  <c r="K75" i="19" s="1"/>
  <c r="H74" i="19"/>
  <c r="G74" i="19"/>
  <c r="I64" i="19"/>
  <c r="I65" i="19" s="1"/>
  <c r="L74" i="19"/>
  <c r="L75" i="19" s="1"/>
  <c r="L76" i="19" s="1"/>
  <c r="L77" i="19" s="1"/>
  <c r="L78" i="19" s="1"/>
  <c r="L79" i="19" s="1"/>
  <c r="O62" i="19"/>
  <c r="J63" i="19"/>
  <c r="L63" i="19"/>
  <c r="K65" i="19"/>
  <c r="K66" i="19" s="1"/>
  <c r="K67" i="19" s="1"/>
  <c r="K53" i="19"/>
  <c r="K54" i="19" s="1"/>
  <c r="J52" i="19"/>
  <c r="L54" i="19"/>
  <c r="I53" i="19"/>
  <c r="I54" i="19" s="1"/>
  <c r="L42" i="19"/>
  <c r="L43" i="19" s="1"/>
  <c r="J41" i="19"/>
  <c r="J42" i="19" s="1"/>
  <c r="J31" i="19"/>
  <c r="J32" i="19" s="1"/>
  <c r="K31" i="19"/>
  <c r="I41" i="19"/>
  <c r="I42" i="19" s="1"/>
  <c r="I43" i="19" s="1"/>
  <c r="K41" i="19"/>
  <c r="I30" i="19"/>
  <c r="I31" i="19" s="1"/>
  <c r="L30" i="19"/>
  <c r="L31" i="19" s="1"/>
  <c r="H42" i="19"/>
  <c r="H31" i="19"/>
  <c r="L9" i="19"/>
  <c r="L10" i="19" s="1"/>
  <c r="L11" i="19" s="1"/>
  <c r="H19" i="19"/>
  <c r="H20" i="19" s="1"/>
  <c r="I21" i="19"/>
  <c r="I25" i="19" s="1"/>
  <c r="J11" i="19"/>
  <c r="K8" i="19"/>
  <c r="K9" i="19" s="1"/>
  <c r="J19" i="19"/>
  <c r="K19" i="19"/>
  <c r="I8" i="19"/>
  <c r="L19" i="19"/>
  <c r="D53" i="19"/>
  <c r="E53" i="19" s="1"/>
  <c r="N30" i="19" l="1"/>
  <c r="N31" i="19" s="1"/>
  <c r="N32" i="19" s="1"/>
  <c r="M43" i="19"/>
  <c r="M45" i="19" s="1"/>
  <c r="M44" i="19"/>
  <c r="H25" i="19"/>
  <c r="H58" i="19"/>
  <c r="D125" i="29"/>
  <c r="N127" i="29"/>
  <c r="E124" i="29"/>
  <c r="M121" i="19"/>
  <c r="M122" i="19"/>
  <c r="M123" i="19" s="1"/>
  <c r="J121" i="19"/>
  <c r="K42" i="19"/>
  <c r="K43" i="19" s="1"/>
  <c r="N119" i="19"/>
  <c r="N120" i="19" s="1"/>
  <c r="N121" i="19" s="1"/>
  <c r="H97" i="19"/>
  <c r="H75" i="19"/>
  <c r="J64" i="19"/>
  <c r="J65" i="19" s="1"/>
  <c r="J66" i="19" s="1"/>
  <c r="J109" i="19"/>
  <c r="J110" i="19" s="1"/>
  <c r="L120" i="19"/>
  <c r="L121" i="19" s="1"/>
  <c r="L122" i="19" s="1"/>
  <c r="I97" i="19"/>
  <c r="I98" i="19" s="1"/>
  <c r="O121" i="19"/>
  <c r="I86" i="19"/>
  <c r="I87" i="19" s="1"/>
  <c r="I109" i="19"/>
  <c r="I113" i="19" s="1"/>
  <c r="L111" i="19"/>
  <c r="K108" i="19"/>
  <c r="J98" i="19"/>
  <c r="J99" i="19" s="1"/>
  <c r="L86" i="19"/>
  <c r="L87" i="19" s="1"/>
  <c r="K86" i="19"/>
  <c r="J86" i="19"/>
  <c r="J87" i="19" s="1"/>
  <c r="K76" i="19"/>
  <c r="L64" i="19"/>
  <c r="O63" i="19"/>
  <c r="L55" i="19"/>
  <c r="L56" i="19" s="1"/>
  <c r="L57" i="19" s="1"/>
  <c r="J53" i="19"/>
  <c r="K55" i="19"/>
  <c r="K56" i="19" s="1"/>
  <c r="L44" i="19"/>
  <c r="L45" i="19" s="1"/>
  <c r="L46" i="19" s="1"/>
  <c r="J33" i="19"/>
  <c r="J43" i="19"/>
  <c r="J44" i="19" s="1"/>
  <c r="L32" i="19"/>
  <c r="K32" i="19"/>
  <c r="K33" i="19" s="1"/>
  <c r="I32" i="19"/>
  <c r="L12" i="19"/>
  <c r="L13" i="19" s="1"/>
  <c r="K20" i="19"/>
  <c r="K10" i="19"/>
  <c r="K11" i="19" s="1"/>
  <c r="J20" i="19"/>
  <c r="J21" i="19" s="1"/>
  <c r="I9" i="19"/>
  <c r="I10" i="19" s="1"/>
  <c r="L20" i="19"/>
  <c r="D54" i="19"/>
  <c r="I58" i="19" s="1"/>
  <c r="M46" i="19" l="1"/>
  <c r="D126" i="29"/>
  <c r="E126" i="29" s="1"/>
  <c r="O127" i="29"/>
  <c r="E125" i="29"/>
  <c r="J113" i="19"/>
  <c r="M124" i="19"/>
  <c r="L123" i="19"/>
  <c r="J54" i="19"/>
  <c r="J55" i="19" s="1"/>
  <c r="O122" i="19"/>
  <c r="K21" i="19"/>
  <c r="K22" i="19" s="1"/>
  <c r="K87" i="19"/>
  <c r="K88" i="19" s="1"/>
  <c r="K89" i="19" s="1"/>
  <c r="K44" i="19"/>
  <c r="K45" i="19" s="1"/>
  <c r="L112" i="19"/>
  <c r="L113" i="19" s="1"/>
  <c r="K77" i="19"/>
  <c r="K78" i="19" s="1"/>
  <c r="N122" i="19"/>
  <c r="N123" i="19" s="1"/>
  <c r="K109" i="19"/>
  <c r="K110" i="19" s="1"/>
  <c r="L88" i="19"/>
  <c r="L89" i="19" s="1"/>
  <c r="L90" i="19" s="1"/>
  <c r="J88" i="19"/>
  <c r="O64" i="19"/>
  <c r="L65" i="19"/>
  <c r="L66" i="19" s="1"/>
  <c r="L33" i="19"/>
  <c r="L34" i="19" s="1"/>
  <c r="K34" i="19"/>
  <c r="J22" i="19"/>
  <c r="J25" i="19" s="1"/>
  <c r="K12" i="19"/>
  <c r="L21" i="19"/>
  <c r="D55" i="19"/>
  <c r="E55" i="19" s="1"/>
  <c r="E54" i="19"/>
  <c r="J58" i="19" l="1"/>
  <c r="K23" i="19"/>
  <c r="N124" i="19"/>
  <c r="N125" i="19" s="1"/>
  <c r="O123" i="19"/>
  <c r="K111" i="19"/>
  <c r="K113" i="19" s="1"/>
  <c r="L67" i="19"/>
  <c r="L68" i="19" s="1"/>
  <c r="O65" i="19"/>
  <c r="O66" i="19" s="1"/>
  <c r="L35" i="19"/>
  <c r="L22" i="19"/>
  <c r="L23" i="19" s="1"/>
  <c r="D56" i="19"/>
  <c r="K58" i="19" s="1"/>
  <c r="O124" i="19" l="1"/>
  <c r="O125" i="19" s="1"/>
  <c r="O67" i="19"/>
  <c r="O68" i="19" s="1"/>
  <c r="E56" i="19"/>
  <c r="L24" i="19"/>
  <c r="D57" i="19"/>
  <c r="E57" i="19" s="1"/>
  <c r="L58" i="19" l="1"/>
  <c r="O126" i="19"/>
  <c r="G4" i="20"/>
  <c r="H4" i="20"/>
  <c r="K4" i="20" s="1"/>
  <c r="L4" i="20" s="1"/>
  <c r="J4" i="20"/>
  <c r="M4" i="20"/>
  <c r="N4" i="20"/>
  <c r="O4" i="20"/>
  <c r="P4" i="20"/>
  <c r="Q4" i="20"/>
  <c r="G5" i="20"/>
  <c r="H5" i="20"/>
  <c r="K5" i="20" s="1"/>
  <c r="L5" i="20" s="1"/>
  <c r="I5" i="20"/>
  <c r="M5" i="20" s="1"/>
  <c r="N5" i="20" s="1"/>
  <c r="J5" i="20"/>
  <c r="B6" i="20"/>
  <c r="G6" i="20"/>
  <c r="H6" i="20"/>
  <c r="K6" i="20" s="1"/>
  <c r="I6" i="20"/>
  <c r="M6" i="20" s="1"/>
  <c r="N6" i="20" s="1"/>
  <c r="J6" i="20"/>
  <c r="G7" i="20"/>
  <c r="H7" i="20"/>
  <c r="K7" i="20" s="1"/>
  <c r="I7" i="20"/>
  <c r="M7" i="20" s="1"/>
  <c r="N7" i="20" s="1"/>
  <c r="J7" i="20"/>
  <c r="G8" i="20"/>
  <c r="H8" i="20"/>
  <c r="K8" i="20" s="1"/>
  <c r="M8" i="20"/>
  <c r="N8" i="20" s="1"/>
  <c r="J8" i="20"/>
  <c r="G9" i="20"/>
  <c r="H9" i="20"/>
  <c r="K9" i="20" s="1"/>
  <c r="M9" i="20"/>
  <c r="N9" i="20" s="1"/>
  <c r="J9" i="20"/>
  <c r="G10" i="20"/>
  <c r="H10" i="20"/>
  <c r="K10" i="20" s="1"/>
  <c r="I10" i="20"/>
  <c r="M10" i="20" s="1"/>
  <c r="N10" i="20" s="1"/>
  <c r="J10" i="20"/>
  <c r="G11" i="20"/>
  <c r="H11" i="20"/>
  <c r="K11" i="20" s="1"/>
  <c r="I11" i="20"/>
  <c r="M11" i="20" s="1"/>
  <c r="N11" i="20" s="1"/>
  <c r="J11" i="20"/>
  <c r="G12" i="20"/>
  <c r="H12" i="20"/>
  <c r="K12" i="20" s="1"/>
  <c r="I12" i="20"/>
  <c r="M12" i="20" s="1"/>
  <c r="N12" i="20" s="1"/>
  <c r="J12" i="20"/>
  <c r="G13" i="20"/>
  <c r="H13" i="20"/>
  <c r="K13" i="20" s="1"/>
  <c r="I13" i="20"/>
  <c r="M13" i="20" s="1"/>
  <c r="N13" i="20" s="1"/>
  <c r="J13" i="20"/>
  <c r="G14" i="20"/>
  <c r="H14" i="20"/>
  <c r="K14" i="20" s="1"/>
  <c r="I14" i="20"/>
  <c r="M14" i="20" s="1"/>
  <c r="N14" i="20" s="1"/>
  <c r="J14" i="20"/>
  <c r="D40" i="19"/>
  <c r="D29" i="19"/>
  <c r="D84" i="19"/>
  <c r="D73" i="19"/>
  <c r="D117" i="19"/>
  <c r="D62" i="19"/>
  <c r="D7" i="19"/>
  <c r="D95" i="19"/>
  <c r="F69" i="19" l="1"/>
  <c r="F36" i="19"/>
  <c r="G14" i="19"/>
  <c r="F14" i="19"/>
  <c r="F80" i="19"/>
  <c r="D118" i="19"/>
  <c r="G127" i="19"/>
  <c r="F127" i="19"/>
  <c r="F91" i="19"/>
  <c r="F102" i="19"/>
  <c r="G102" i="19"/>
  <c r="H102" i="19"/>
  <c r="I102" i="19"/>
  <c r="F47" i="19"/>
  <c r="D96" i="19"/>
  <c r="D97" i="19" s="1"/>
  <c r="D98" i="19" s="1"/>
  <c r="E84" i="19"/>
  <c r="D8" i="19"/>
  <c r="E8" i="19" s="1"/>
  <c r="L8" i="20"/>
  <c r="L11" i="20"/>
  <c r="L12" i="20"/>
  <c r="L13" i="20"/>
  <c r="B8" i="20"/>
  <c r="K15" i="20"/>
  <c r="O8" i="20"/>
  <c r="O6" i="20"/>
  <c r="Q6" i="20" s="1"/>
  <c r="O7" i="20"/>
  <c r="O10" i="20"/>
  <c r="Q10" i="20" s="1"/>
  <c r="O5" i="20"/>
  <c r="Q5" i="20" s="1"/>
  <c r="O12" i="20"/>
  <c r="L9" i="20"/>
  <c r="L10" i="20"/>
  <c r="O11" i="20"/>
  <c r="O14" i="20"/>
  <c r="Q14" i="20" s="1"/>
  <c r="L6" i="20"/>
  <c r="L14" i="20"/>
  <c r="L7" i="20"/>
  <c r="O13" i="20"/>
  <c r="Q13" i="20" s="1"/>
  <c r="O9" i="20"/>
  <c r="Q9" i="20" s="1"/>
  <c r="E40" i="19"/>
  <c r="D41" i="19"/>
  <c r="G47" i="19" s="1"/>
  <c r="E29" i="19"/>
  <c r="D30" i="19"/>
  <c r="E30" i="19" s="1"/>
  <c r="D85" i="19"/>
  <c r="E85" i="19" s="1"/>
  <c r="E73" i="19"/>
  <c r="D74" i="19"/>
  <c r="E74" i="19" s="1"/>
  <c r="E117" i="19"/>
  <c r="E62" i="19"/>
  <c r="D63" i="19"/>
  <c r="E63" i="19" s="1"/>
  <c r="E7" i="19"/>
  <c r="E18" i="19"/>
  <c r="G36" i="19" l="1"/>
  <c r="D119" i="19"/>
  <c r="G80" i="19"/>
  <c r="G69" i="19"/>
  <c r="G91" i="19"/>
  <c r="E118" i="19"/>
  <c r="D9" i="19"/>
  <c r="E9" i="19" s="1"/>
  <c r="H14" i="19"/>
  <c r="B12" i="20"/>
  <c r="P6" i="20"/>
  <c r="R6" i="20" s="1"/>
  <c r="P14" i="20"/>
  <c r="R14" i="20" s="1"/>
  <c r="P9" i="20"/>
  <c r="R9" i="20" s="1"/>
  <c r="Q7" i="20"/>
  <c r="P7" i="20"/>
  <c r="R7" i="20" s="1"/>
  <c r="Q11" i="20"/>
  <c r="P11" i="20"/>
  <c r="R11" i="20" s="1"/>
  <c r="P12" i="20"/>
  <c r="R12" i="20" s="1"/>
  <c r="Q12" i="20"/>
  <c r="P13" i="20"/>
  <c r="R13" i="20" s="1"/>
  <c r="P8" i="20"/>
  <c r="R8" i="20" s="1"/>
  <c r="Q8" i="20"/>
  <c r="P5" i="20"/>
  <c r="R5" i="20" s="1"/>
  <c r="P10" i="20"/>
  <c r="R10" i="20" s="1"/>
  <c r="D42" i="19"/>
  <c r="H47" i="19" s="1"/>
  <c r="E41" i="19"/>
  <c r="D31" i="19"/>
  <c r="D86" i="19"/>
  <c r="D75" i="19"/>
  <c r="D64" i="19"/>
  <c r="H69" i="19" s="1"/>
  <c r="E19" i="19"/>
  <c r="E20" i="19"/>
  <c r="H91" i="19" l="1"/>
  <c r="H127" i="19"/>
  <c r="D120" i="19"/>
  <c r="I69" i="19"/>
  <c r="E119" i="19"/>
  <c r="H36" i="19"/>
  <c r="I36" i="19"/>
  <c r="H80" i="19"/>
  <c r="D10" i="19"/>
  <c r="D11" i="19" s="1"/>
  <c r="E75" i="19"/>
  <c r="E10" i="19"/>
  <c r="I14" i="19"/>
  <c r="J14" i="19"/>
  <c r="E31" i="19"/>
  <c r="E42" i="19"/>
  <c r="D43" i="19"/>
  <c r="D32" i="19"/>
  <c r="D87" i="19"/>
  <c r="E86" i="19"/>
  <c r="D76" i="19"/>
  <c r="I80" i="19" s="1"/>
  <c r="D65" i="19"/>
  <c r="E64" i="19"/>
  <c r="D12" i="19"/>
  <c r="E12" i="19" s="1"/>
  <c r="E11" i="19"/>
  <c r="D121" i="19" l="1"/>
  <c r="E120" i="19"/>
  <c r="I91" i="19"/>
  <c r="E43" i="19"/>
  <c r="I47" i="19"/>
  <c r="J47" i="19"/>
  <c r="I127" i="19"/>
  <c r="K14" i="19"/>
  <c r="D44" i="19"/>
  <c r="D33" i="19"/>
  <c r="E32" i="19"/>
  <c r="E87" i="19"/>
  <c r="D88" i="19"/>
  <c r="J91" i="19" s="1"/>
  <c r="D77" i="19"/>
  <c r="E76" i="19"/>
  <c r="E121" i="19"/>
  <c r="D66" i="19"/>
  <c r="J69" i="19" s="1"/>
  <c r="E65" i="19"/>
  <c r="D13" i="19"/>
  <c r="E13" i="19" s="1"/>
  <c r="E22" i="19"/>
  <c r="E21" i="19"/>
  <c r="E77" i="19" l="1"/>
  <c r="D122" i="19"/>
  <c r="J127" i="19"/>
  <c r="K36" i="19"/>
  <c r="J36" i="19"/>
  <c r="J80" i="19"/>
  <c r="K91" i="19"/>
  <c r="E66" i="19"/>
  <c r="E44" i="19"/>
  <c r="E33" i="19"/>
  <c r="L14" i="19"/>
  <c r="D45" i="19"/>
  <c r="D34" i="19"/>
  <c r="E34" i="19" s="1"/>
  <c r="D89" i="19"/>
  <c r="E88" i="19"/>
  <c r="D78" i="19"/>
  <c r="D123" i="19"/>
  <c r="E122" i="19"/>
  <c r="D67" i="19"/>
  <c r="K69" i="19" s="1"/>
  <c r="D23" i="19"/>
  <c r="K80" i="19" l="1"/>
  <c r="E89" i="19"/>
  <c r="L91" i="19"/>
  <c r="K25" i="19"/>
  <c r="L25" i="19"/>
  <c r="L47" i="19"/>
  <c r="K47" i="19"/>
  <c r="L127" i="19"/>
  <c r="K127" i="19"/>
  <c r="L36" i="19"/>
  <c r="E123" i="19"/>
  <c r="D124" i="19"/>
  <c r="D46" i="19"/>
  <c r="E45" i="19"/>
  <c r="D35" i="19"/>
  <c r="D90" i="19"/>
  <c r="D79" i="19"/>
  <c r="L80" i="19" s="1"/>
  <c r="E78" i="19"/>
  <c r="D68" i="19"/>
  <c r="L69" i="19" s="1"/>
  <c r="E67" i="19"/>
  <c r="D24" i="19"/>
  <c r="E24" i="19" s="1"/>
  <c r="E23" i="19"/>
  <c r="D125" i="19" l="1"/>
  <c r="M127" i="19"/>
  <c r="E68" i="19"/>
  <c r="O40" i="19"/>
  <c r="O41" i="19" s="1"/>
  <c r="O42" i="19" s="1"/>
  <c r="O43" i="19" s="1"/>
  <c r="O44" i="19" s="1"/>
  <c r="O45" i="19" s="1"/>
  <c r="O46" i="19" s="1"/>
  <c r="O47" i="19" s="1"/>
  <c r="P117" i="19"/>
  <c r="E46" i="19"/>
  <c r="E35" i="19"/>
  <c r="E90" i="19"/>
  <c r="E79" i="19"/>
  <c r="E124" i="19"/>
  <c r="E95" i="19"/>
  <c r="E96" i="19"/>
  <c r="D126" i="19" l="1"/>
  <c r="O127" i="19"/>
  <c r="N127" i="19"/>
  <c r="P51" i="19"/>
  <c r="P18" i="19"/>
  <c r="P7" i="19"/>
  <c r="P8" i="19" s="1"/>
  <c r="P9" i="19" s="1"/>
  <c r="E126" i="19"/>
  <c r="E125" i="19"/>
  <c r="E97" i="19"/>
  <c r="P52" i="19" l="1"/>
  <c r="P19" i="19"/>
  <c r="P20" i="19" s="1"/>
  <c r="P30" i="19"/>
  <c r="P118" i="19"/>
  <c r="P119" i="19" s="1"/>
  <c r="D99" i="19"/>
  <c r="E98" i="19"/>
  <c r="J102" i="19" l="1"/>
  <c r="E99" i="19"/>
  <c r="P31" i="19"/>
  <c r="P53" i="19"/>
  <c r="P54" i="19" s="1"/>
  <c r="P55" i="19" s="1"/>
  <c r="P56" i="19" s="1"/>
  <c r="P10" i="19"/>
  <c r="P120" i="19"/>
  <c r="P21" i="19"/>
  <c r="D100" i="19"/>
  <c r="K102" i="19" l="1"/>
  <c r="P32" i="19"/>
  <c r="P33" i="19" s="1"/>
  <c r="N33" i="19"/>
  <c r="N34" i="19" s="1"/>
  <c r="P11" i="19"/>
  <c r="P121" i="19"/>
  <c r="P57" i="19"/>
  <c r="P22" i="19"/>
  <c r="P23" i="19" s="1"/>
  <c r="D101" i="19"/>
  <c r="L102" i="19" s="1"/>
  <c r="E100" i="19"/>
  <c r="N35" i="19" l="1"/>
  <c r="N36" i="19" s="1"/>
  <c r="P34" i="19"/>
  <c r="P35" i="19" s="1"/>
  <c r="E101" i="19"/>
  <c r="P12" i="19"/>
  <c r="P13" i="19" s="1"/>
  <c r="P122" i="19"/>
  <c r="P24" i="19"/>
  <c r="P36" i="19" l="1"/>
  <c r="P37" i="19" s="1"/>
  <c r="P123" i="19"/>
  <c r="P124" i="19" s="1"/>
  <c r="P125" i="19" l="1"/>
  <c r="P126"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tc={51F68E03-F196-4DBC-8B29-E5AAB18ADCD1}</author>
    <author>tc={0E712426-5E65-4455-8A17-F3ABDEC35242}</author>
    <author>tc={4D86DD5E-3C45-4612-9D79-F5A6C73137ED}</author>
  </authors>
  <commentList>
    <comment ref="B7" authorId="0" shapeId="0" xr:uid="{51F68E03-F196-4DBC-8B29-E5AAB18ADCD1}">
      <text>
        <t>[Comentário encadeado]
Sua versão do Excel permite que você leia este comentário encadeado, no entanto, as edições serão removidas se o arquivo for aberto em uma versão mais recente do Excel. Saiba mais: https://go.microsoft.com/fwlink/?linkid=870924
Comentário:
    Stop valor financeiro</t>
      </text>
    </comment>
    <comment ref="B9" authorId="1" shapeId="0" xr:uid="{0E712426-5E65-4455-8A17-F3ABDEC35242}">
      <text>
        <t>[Comentário encadeado]
Sua versão do Excel permite que você leia este comentário encadeado, no entanto, as edições serão removidas se o arquivo for aberto em uma versão mais recente do Excel. Saiba mais: https://go.microsoft.com/fwlink/?linkid=870924
Comentário:
    Margem requerida da corretora para cada contrato</t>
      </text>
    </comment>
    <comment ref="B13" authorId="2" shapeId="0" xr:uid="{4D86DD5E-3C45-4612-9D79-F5A6C73137ED}">
      <text>
        <t>[Comentário encadeado]
Sua versão do Excel permite que você leia este comentário encadeado, no entanto, as edições serão removidas se o arquivo for aberto em uma versão mais recente do Excel. Saiba mais: https://go.microsoft.com/fwlink/?linkid=870924
Comentário:
    Multiplicador mini índice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tc={1A3E67FB-869C-4BE4-B502-23D1FA5F4711}</author>
    <author>tc={3F00BCFE-14CB-4468-8862-734F9A01D3BD}</author>
  </authors>
  <commentList>
    <comment ref="B7" authorId="0" shapeId="0" xr:uid="{1A3E67FB-869C-4BE4-B502-23D1FA5F4711}">
      <text>
        <t>[Comentário encadeado]
Sua versão do Excel permite que você leia este comentário encadeado, no entanto, as edições serão removidas se o arquivo for aberto em uma versão mais recente do Excel. Saiba mais: https://go.microsoft.com/fwlink/?linkid=870924
Comentário:
    Stop valor financeiro</t>
      </text>
    </comment>
    <comment ref="B9" authorId="1" shapeId="0" xr:uid="{3F00BCFE-14CB-4468-8862-734F9A01D3BD}">
      <text>
        <t>[Comentário encadeado]
Sua versão do Excel permite que você leia este comentário encadeado, no entanto, as edições serão removidas se o arquivo for aberto em uma versão mais recente do Excel. Saiba mais: https://go.microsoft.com/fwlink/?linkid=870924
Comentário:
    Margem requerida da corretora para cada contrato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H2" authorId="0" shapeId="0" xr:uid="{0DCC620A-F41F-4270-BF74-0223FF341955}">
      <text>
        <r>
          <rPr>
            <b/>
            <sz val="9"/>
            <color indexed="81"/>
            <rFont val="Segoe UI"/>
            <family val="2"/>
          </rPr>
          <t>Stop sugerido para o robô</t>
        </r>
      </text>
    </comment>
    <comment ref="D6" authorId="0" shapeId="0" xr:uid="{BDAD77E2-B8EF-44F1-ABCA-2E0F225F90E0}">
      <text>
        <r>
          <rPr>
            <b/>
            <sz val="9"/>
            <color indexed="81"/>
            <rFont val="Segoe UI"/>
            <family val="2"/>
          </rPr>
          <t>Volume das Reentradas</t>
        </r>
      </text>
    </comment>
    <comment ref="E6" authorId="0" shapeId="0" xr:uid="{5C0DCDC1-A300-4CDF-9F45-F6A25C38D5B2}">
      <text>
        <r>
          <rPr>
            <b/>
            <sz val="9"/>
            <color indexed="81"/>
            <rFont val="Segoe UI"/>
            <family val="2"/>
          </rPr>
          <t>Volume total acumulado nas Reentradas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H2" authorId="0" shapeId="0" xr:uid="{79183DF4-59CF-465D-A784-907A8AEA64A2}">
      <text>
        <r>
          <rPr>
            <b/>
            <sz val="9"/>
            <color indexed="81"/>
            <rFont val="Segoe UI"/>
            <family val="2"/>
          </rPr>
          <t>Stop sugerido para o robô</t>
        </r>
      </text>
    </comment>
    <comment ref="D6" authorId="0" shapeId="0" xr:uid="{45E32887-AAA0-433D-8C49-98B12E16B624}">
      <text>
        <r>
          <rPr>
            <b/>
            <sz val="9"/>
            <color indexed="81"/>
            <rFont val="Segoe UI"/>
            <family val="2"/>
          </rPr>
          <t>Volume das Reentradas</t>
        </r>
      </text>
    </comment>
    <comment ref="E6" authorId="0" shapeId="0" xr:uid="{2061DD1E-7640-4C58-866E-5876D8E491B9}">
      <text>
        <r>
          <rPr>
            <b/>
            <sz val="9"/>
            <color indexed="81"/>
            <rFont val="Segoe UI"/>
            <family val="2"/>
          </rPr>
          <t>Volume total acumulado nas Reentradas</t>
        </r>
      </text>
    </comment>
  </commentList>
</comments>
</file>

<file path=xl/sharedStrings.xml><?xml version="1.0" encoding="utf-8"?>
<sst xmlns="http://schemas.openxmlformats.org/spreadsheetml/2006/main" count="749" uniqueCount="92">
  <si>
    <t>Stop</t>
  </si>
  <si>
    <t>Entradas</t>
  </si>
  <si>
    <t>Contratos</t>
  </si>
  <si>
    <t>Ct Total</t>
  </si>
  <si>
    <t>Ct ativos</t>
  </si>
  <si>
    <t>N. Ct Acumu.</t>
  </si>
  <si>
    <t>Margem</t>
  </si>
  <si>
    <t>Stop Valor</t>
  </si>
  <si>
    <t>Margem p/ Ct</t>
  </si>
  <si>
    <t>P. médio</t>
  </si>
  <si>
    <t>% P. médio</t>
  </si>
  <si>
    <t>Trades</t>
  </si>
  <si>
    <t>Simulado</t>
  </si>
  <si>
    <t>Entrada</t>
  </si>
  <si>
    <t>Robô</t>
  </si>
  <si>
    <t>Stop Total</t>
  </si>
  <si>
    <t>Mini índice</t>
  </si>
  <si>
    <t>Stops</t>
  </si>
  <si>
    <t>Gain / TP</t>
  </si>
  <si>
    <t>Mini dólar</t>
  </si>
  <si>
    <t>Gain no TP</t>
  </si>
  <si>
    <t>www.robobolsa.com.br</t>
  </si>
  <si>
    <t>Stop loss</t>
  </si>
  <si>
    <t>Lote inicial</t>
  </si>
  <si>
    <t>Reentrada 1</t>
  </si>
  <si>
    <t>Reentrada 2</t>
  </si>
  <si>
    <t>Reentrada 3</t>
  </si>
  <si>
    <t>Reentrada 4</t>
  </si>
  <si>
    <t>Reentrada 5</t>
  </si>
  <si>
    <t>Reentrada 6</t>
  </si>
  <si>
    <t>Reentrada 7</t>
  </si>
  <si>
    <t>Reentrada 8</t>
  </si>
  <si>
    <t>Reentrada 9</t>
  </si>
  <si>
    <t>Reentrada 10</t>
  </si>
  <si>
    <t>Volume</t>
  </si>
  <si>
    <t>1 A.</t>
  </si>
  <si>
    <t>2 A.</t>
  </si>
  <si>
    <t>3 A.</t>
  </si>
  <si>
    <t>4 A.</t>
  </si>
  <si>
    <t>5 A.</t>
  </si>
  <si>
    <t>6 A.</t>
  </si>
  <si>
    <t>7 A.</t>
  </si>
  <si>
    <t>8 A.</t>
  </si>
  <si>
    <t>9 A.</t>
  </si>
  <si>
    <t>10 A.</t>
  </si>
  <si>
    <t>Vol. Total</t>
  </si>
  <si>
    <t>Progressivo</t>
  </si>
  <si>
    <t>% Range</t>
  </si>
  <si>
    <t>Mini Índice</t>
  </si>
  <si>
    <t>Regressivo</t>
  </si>
  <si>
    <t>Progressivo Forte</t>
  </si>
  <si>
    <t>Grade</t>
  </si>
  <si>
    <t>Grade Progressiva</t>
  </si>
  <si>
    <t>Oscilante</t>
  </si>
  <si>
    <t>Oscilante 2</t>
  </si>
  <si>
    <t>Progressivo alto</t>
  </si>
  <si>
    <t>Progressivo não linear</t>
  </si>
  <si>
    <t>TP</t>
  </si>
  <si>
    <t>S. Reent</t>
  </si>
  <si>
    <t>Progressivo não linear 2</t>
  </si>
  <si>
    <t>Simulador de Estratégias - A Robô Bolsa não se responsabiliza por ganhos ou perdas eventuais que possam ocorrer, esta planilha foi desenvolvida para facilitar o estudo das configurações do robô Retorno da Média. As configurações devem ser testadas e desenvolvidas pelos usuários com sua total responsabilidade.</t>
  </si>
  <si>
    <t>1º - Adicione WIN$N para Mini Índice ou WDO$N para Mini Dólar</t>
  </si>
  <si>
    <t>2º - Configure desta maneira abaixo a aba "Configuração"</t>
  </si>
  <si>
    <t>Média do Range Diário</t>
  </si>
  <si>
    <t>3º - Abra um gráfico Diário (D1) do WIN$N e coloque o indicador ATR com período de 30 dias na Aba "Parâmetro de Entrada", o indicador mostrará um número da média dos últimos 30 dias</t>
  </si>
  <si>
    <t>Como montar sua estratégia na Robô Bolsa, com a planilha Stop e Simulador de Estratégias</t>
  </si>
  <si>
    <t>8º - Se o Drawdown estiver muito alto ou tiver tomando muito stop, você pode otimizar com filtro ATR. Para mini índice coloque 5 períodos, superior acima de 1000 e inferior você coloca para testar começando com 100, passo 10 até 200. Para mini dólar coloque 5 períodos, superior acima de 10 e inferior começa testando com 3, passo 1 até 10.</t>
  </si>
  <si>
    <t>Dicas:</t>
  </si>
  <si>
    <t>Para adquirir sua licença para conta real acesse www.robobolsa.com.br</t>
  </si>
  <si>
    <t>Você pode fazer otimização dos parâmetros de takeprofit, mas é sugerido colocar o último takeprofit somente meio ponto no dólar e 5 pontos no índice para sair rapidamente do trade que teve muitos aumentos de posição.</t>
  </si>
  <si>
    <t>6º - Configure as reentradas de acordo com uma estratégia de sua escolha e agora você precisa escolher uma média móvel, sugerimos os períodos 7, 15 ou 25 na categoria do Robô "INDICADOR - Retorno à média" no parâmetro "Período". No parâmetro "Período gráfico" mudar para "1 Minuto". Insira o Stoploss no robô que a planilha sugeriu.</t>
  </si>
  <si>
    <t>Tutorial de Estratégias</t>
  </si>
  <si>
    <t xml:space="preserve">Para melhorar ainda mais seus resultados, é sugerido você testar com períodos variados da média móvel: 7, 15, 25, etc. </t>
  </si>
  <si>
    <t>Para stops acima de 800 pontos no mini índice e acima de 30 pontos no mini dólar, recomendo operar somente na parte da manhã, das 9h30 até 13h, onde o mercado tem a tendência de maior volatilidade, assim é mais fácil retornar o preço no seu takeprofit. Operando em mercado com menos volatilidade, é recomendado utilizar o filtro ATR disponível nos parâmetros.</t>
  </si>
  <si>
    <t>S. Reent.</t>
  </si>
  <si>
    <t>4º - Vá na aba desta planilha em "Estratégias Mini Índice" ou "Estratégias Mini Dólar" e digite este valor em "Média do Range Diário" e escolha uma porcentagem para calcular o Stop. Dica: em torno de 60% para mini índice e 25% para mini dólar.</t>
  </si>
  <si>
    <t>5º - Escolha uma estratégia e reentradas desejadas observando o cálculo financeiro do stop, lembre-se que você deve ter de margem na sua corretora pelo menos 3 vezes o valor do seu stop. Se você opera com mais de um robô, considere suas configurações e some o "stops" dos robôs. O takeprofit pode ir diminuindo com as reentradas, você pode testar começando com 30 a 50 pontos no mini índice e 2 a 10 pontos no mini dólar. Para mais de uma estratégia no mesmo ativo é necessário conta hedge e número mágico diferente.</t>
  </si>
  <si>
    <r>
      <t xml:space="preserve">7º - Fazer otimização da </t>
    </r>
    <r>
      <rPr>
        <b/>
        <sz val="11"/>
        <color theme="1"/>
        <rFont val="Calibri"/>
        <family val="2"/>
        <scheme val="minor"/>
      </rPr>
      <t>entrada do robô</t>
    </r>
    <r>
      <rPr>
        <sz val="11"/>
        <color theme="1"/>
        <rFont val="Calibri"/>
        <family val="2"/>
        <scheme val="minor"/>
      </rPr>
      <t>, vá na categoria do robô "Entrada Inicial" e  colocar para otimizar o parâmetro "Distância", colocar: Iniciar em 100, passo 10 e terminar em 300. O takeprofit pode começar testando com 30 a 50 pontos no mini índice e 2 a 10 pontos no mini dólar. A configuração que der mais lucro, com menor Rebaixamento (Drawdown) e menor quantidade de negociações, tem a tendência de ser a melhor.</t>
    </r>
  </si>
  <si>
    <t>9º - Após achar uma configuração confortável com seu perfil, aperte botão direito do mouse em qualquer parâmetro e clique em salvar, nomeie e salve sua configuração. Abra o gráfico do mini índice ou mini dólar que está sendo negociado no momento, exemplo: WINJ21, insira o robô no gráfico e abra a configuração que você salvou, para operar em conta real é necessário uma licença que poderá ser adquirida no site www.robobolsa.com.br.</t>
  </si>
  <si>
    <t>É importante definir a hora de fechamento do robô, mesmo perdendo, antes que a corretora feche suas posições ( "stopar"),  evitando assim pagar taxas de corretagem. Os trades não serão levados para o próximo dia, o robô foi desenvolvido para operações "daytrade", não "swing-trade".</t>
  </si>
  <si>
    <t>É extremamente recomendável assistir todas as vídeo aulas da área de membros para aprimorar ainda mais suas configurações. Não opere em conta real sem você ter testado qualquer Set. Não nos responsabilizamos por perdas ou má operação por parte do usuário, nos somente fornecemos uma ferramenta para trade. O sucesso de seu investimento depende de seu estudo e dedicação.</t>
  </si>
  <si>
    <t>Distância entrada</t>
  </si>
  <si>
    <t>Método 1</t>
  </si>
  <si>
    <t>0 A.</t>
  </si>
  <si>
    <t>1 tick</t>
  </si>
  <si>
    <t>Método 2</t>
  </si>
  <si>
    <t>Método 3</t>
  </si>
  <si>
    <t>Método 4</t>
  </si>
  <si>
    <t>Método 5</t>
  </si>
  <si>
    <t>Mini Dólar</t>
  </si>
  <si>
    <t>Tick</t>
  </si>
  <si>
    <t>Multiplicador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</si>
</sst>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 #,##0.00_-;\-&quot;R$&quot;\ * #,##0.00_-;_-&quot;R$&quot;\ * &quot;-&quot;??_-;_-@_-"/>
    <numFmt numFmtId="164" formatCode="0.0"/>
  </numFmts>
  <fonts count="21"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sz val="16"/>
      <color theme="1"/>
      <name val="Calibri"/>
      <family val="2"/>
      <scheme val="minor"/>
    </font>
    <font>
      <sz val="10"/>
      <color theme="0"/>
      <name val="Calibri"/>
      <family val="2"/>
      <scheme val="minor"/>
    </font>
    <font>
      <u/>
      <sz val="11"/>
      <color theme="10"/>
      <name val="Calibri"/>
      <family val="2"/>
      <scheme val="minor"/>
    </font>
    <font>
      <sz val="8"/>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0"/>
      <color theme="1"/>
      <name val="Calibri"/>
      <family val="2"/>
      <scheme val="minor"/>
    </font>
    <font>
      <b/>
      <sz val="26"/>
      <color theme="1"/>
      <name val="Calibri"/>
      <family val="2"/>
      <scheme val="minor"/>
    </font>
    <font>
      <b/>
      <sz val="9"/>
      <color indexed="81"/>
      <name val="Segoe UI"/>
      <family val="2"/>
    </font>
    <font>
      <sz val="18"/>
      <color theme="1"/>
      <name val="Calibri"/>
      <family val="2"/>
      <scheme val="minor"/>
    </font>
    <font>
      <sz val="12"/>
      <color theme="0"/>
      <name val="Calibri"/>
      <family val="2"/>
      <scheme val="minor"/>
    </font>
    <font>
      <sz val="14"/>
      <color theme="1"/>
      <name val="Calibri"/>
      <family val="2"/>
      <scheme val="minor"/>
    </font>
    <font>
      <sz val="9"/>
      <color theme="0"/>
      <name val="Calibri"/>
      <family val="2"/>
      <scheme val="minor"/>
    </font>
    <font>
      <sz val="28"/>
      <color theme="0"/>
      <name val="Calibri"/>
      <family val="2"/>
      <scheme val="minor"/>
    </font>
    <font>
      <b/>
      <sz val="12"/>
      <color theme="1"/>
      <name val="Calibri"/>
      <family val="2"/>
      <scheme val="minor"/>
    </font>
    <font>
      <sz val="24"/>
      <color theme="0"/>
      <name val="Calibri"/>
      <family val="2"/>
      <scheme val="minor"/>
    </font>
  </fonts>
  <fills count="18">
    <fill>
      <patternFill patternType="none"/>
    </fill>
    <fill>
      <patternFill patternType="gray125"/>
    </fill>
    <fill>
      <patternFill patternType="solid">
        <fgColor rgb="FFFFFFCC"/>
      </patternFill>
    </fill>
    <fill>
      <patternFill patternType="solid">
        <fgColor theme="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rgb="FFFFFFCC"/>
        <bgColor indexed="64"/>
      </patternFill>
    </fill>
    <fill>
      <patternFill patternType="solid">
        <fgColor theme="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6" tint="0.79998168889431442"/>
        <bgColor indexed="65"/>
      </patternFill>
    </fill>
    <fill>
      <patternFill patternType="solid">
        <fgColor theme="6" tint="0.39997558519241921"/>
        <bgColor indexed="65"/>
      </patternFill>
    </fill>
    <fill>
      <patternFill patternType="solid">
        <fgColor theme="5" tint="0.59999389629810485"/>
        <bgColor indexed="6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39997558519241921"/>
        <bgColor indexed="65"/>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4">
    <xf numFmtId="0" fontId="0" fillId="0" borderId="0"/>
    <xf numFmtId="0" fontId="1" fillId="2" borderId="1" applyNumberFormat="0" applyFont="0" applyAlignment="0" applyProtection="0"/>
    <xf numFmtId="0" fontId="2" fillId="3"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2"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cellStyleXfs>
  <cellXfs count="122">
    <xf numFmtId="0" fontId="0" fillId="0" borderId="0" xfId="0"/>
    <xf numFmtId="0" fontId="0" fillId="4" borderId="2" xfId="0" applyFill="1" applyBorder="1" applyAlignment="1">
      <alignment horizontal="center" vertical="center"/>
    </xf>
    <xf numFmtId="0" fontId="0" fillId="4" borderId="2" xfId="0" applyFill="1" applyBorder="1"/>
    <xf numFmtId="0" fontId="2" fillId="3" borderId="2" xfId="2" applyBorder="1" applyAlignment="1">
      <alignment horizontal="center" vertical="center"/>
    </xf>
    <xf numFmtId="0" fontId="2" fillId="3" borderId="2" xfId="2" applyBorder="1" applyAlignment="1">
      <alignment vertical="center"/>
    </xf>
    <xf numFmtId="2" fontId="3" fillId="5" borderId="2" xfId="0" applyNumberFormat="1" applyFont="1" applyFill="1" applyBorder="1" applyAlignment="1">
      <alignment horizontal="center" vertical="center"/>
    </xf>
    <xf numFmtId="164" fontId="3" fillId="5" borderId="2" xfId="0" applyNumberFormat="1" applyFont="1" applyFill="1" applyBorder="1" applyAlignment="1">
      <alignment horizontal="center" vertical="center"/>
    </xf>
    <xf numFmtId="0" fontId="0" fillId="6" borderId="0" xfId="0" applyFill="1"/>
    <xf numFmtId="0" fontId="2" fillId="3" borderId="3" xfId="2" applyBorder="1" applyAlignment="1">
      <alignment vertical="center"/>
    </xf>
    <xf numFmtId="44" fontId="3" fillId="5" borderId="2" xfId="3" applyFont="1" applyFill="1" applyBorder="1"/>
    <xf numFmtId="44" fontId="0" fillId="2" borderId="2" xfId="3" applyFont="1" applyFill="1" applyBorder="1" applyAlignment="1">
      <alignment horizontal="center" vertical="center"/>
    </xf>
    <xf numFmtId="1" fontId="3" fillId="5" borderId="2" xfId="0" applyNumberFormat="1" applyFont="1" applyFill="1" applyBorder="1" applyAlignment="1">
      <alignment horizontal="center" vertical="center"/>
    </xf>
    <xf numFmtId="10" fontId="3" fillId="5" borderId="2" xfId="4" applyNumberFormat="1" applyFont="1" applyFill="1" applyBorder="1" applyAlignment="1">
      <alignment horizontal="center" vertical="center"/>
    </xf>
    <xf numFmtId="1" fontId="0" fillId="2" borderId="2" xfId="1" applyNumberFormat="1" applyFont="1" applyBorder="1" applyAlignment="1">
      <alignment horizontal="center" vertical="center"/>
    </xf>
    <xf numFmtId="0" fontId="5" fillId="3" borderId="3" xfId="2" applyFont="1" applyBorder="1" applyAlignment="1">
      <alignment horizontal="center" vertical="center"/>
    </xf>
    <xf numFmtId="44" fontId="3" fillId="5" borderId="2" xfId="3" applyFont="1" applyFill="1" applyBorder="1" applyAlignment="1">
      <alignment horizontal="center" vertical="center"/>
    </xf>
    <xf numFmtId="0" fontId="2" fillId="3" borderId="7" xfId="2" applyBorder="1" applyAlignment="1">
      <alignment horizontal="center" vertical="center"/>
    </xf>
    <xf numFmtId="0" fontId="2" fillId="3" borderId="8" xfId="2" applyBorder="1" applyAlignment="1">
      <alignment horizontal="center" vertical="center"/>
    </xf>
    <xf numFmtId="0" fontId="2" fillId="3" borderId="2" xfId="2" applyBorder="1" applyAlignment="1">
      <alignment horizontal="center"/>
    </xf>
    <xf numFmtId="1" fontId="3" fillId="7" borderId="2" xfId="0" applyNumberFormat="1" applyFont="1" applyFill="1" applyBorder="1" applyAlignment="1">
      <alignment horizontal="center" vertical="center"/>
    </xf>
    <xf numFmtId="2" fontId="1" fillId="2" borderId="2" xfId="1" applyNumberFormat="1" applyBorder="1" applyAlignment="1">
      <alignment horizontal="center"/>
    </xf>
    <xf numFmtId="1" fontId="1" fillId="2" borderId="2" xfId="1" applyNumberFormat="1" applyBorder="1" applyAlignment="1">
      <alignment horizontal="center"/>
    </xf>
    <xf numFmtId="44" fontId="3" fillId="5" borderId="2" xfId="3" applyFont="1" applyFill="1" applyBorder="1" applyAlignment="1">
      <alignment horizontal="center"/>
    </xf>
    <xf numFmtId="1" fontId="0" fillId="6" borderId="0" xfId="0" applyNumberFormat="1" applyFill="1"/>
    <xf numFmtId="0" fontId="6" fillId="6" borderId="0" xfId="5" applyFill="1" applyAlignment="1">
      <alignment horizontal="center" vertical="center"/>
    </xf>
    <xf numFmtId="0" fontId="1" fillId="10" borderId="2" xfId="8" applyBorder="1" applyAlignment="1">
      <alignment horizontal="center" vertical="center"/>
    </xf>
    <xf numFmtId="0" fontId="2" fillId="3" borderId="4" xfId="2" applyBorder="1"/>
    <xf numFmtId="0" fontId="1" fillId="9" borderId="2" xfId="7" applyBorder="1" applyAlignment="1">
      <alignment horizontal="center" vertical="center"/>
    </xf>
    <xf numFmtId="44" fontId="1" fillId="11" borderId="2" xfId="9" applyNumberFormat="1" applyBorder="1"/>
    <xf numFmtId="0" fontId="2" fillId="8" borderId="2" xfId="6" applyBorder="1" applyAlignment="1">
      <alignment horizontal="center" vertical="center"/>
    </xf>
    <xf numFmtId="2" fontId="1" fillId="12" borderId="2" xfId="10" applyNumberFormat="1" applyBorder="1" applyAlignment="1">
      <alignment horizontal="center" vertical="center"/>
    </xf>
    <xf numFmtId="1" fontId="1" fillId="12" borderId="2" xfId="10" applyNumberFormat="1" applyBorder="1" applyAlignment="1">
      <alignment horizontal="center" vertical="center"/>
    </xf>
    <xf numFmtId="0" fontId="1" fillId="13" borderId="2" xfId="11" applyBorder="1" applyAlignment="1">
      <alignment horizontal="center" vertical="center"/>
    </xf>
    <xf numFmtId="1" fontId="1" fillId="13" borderId="2" xfId="11" applyNumberFormat="1" applyBorder="1" applyAlignment="1">
      <alignment horizontal="center" vertical="center"/>
    </xf>
    <xf numFmtId="9" fontId="1" fillId="10" borderId="2" xfId="4" applyFill="1" applyBorder="1" applyAlignment="1">
      <alignment horizontal="center" vertical="center"/>
    </xf>
    <xf numFmtId="164" fontId="1" fillId="12" borderId="2" xfId="10" applyNumberFormat="1" applyBorder="1" applyAlignment="1">
      <alignment horizontal="center" vertical="center"/>
    </xf>
    <xf numFmtId="164" fontId="1" fillId="13" borderId="2" xfId="11" applyNumberFormat="1" applyBorder="1" applyAlignment="1">
      <alignment horizontal="center" vertical="center"/>
    </xf>
    <xf numFmtId="0" fontId="0" fillId="6" borderId="0" xfId="0" applyFill="1" applyAlignment="1">
      <alignment horizontal="center" vertical="center"/>
    </xf>
    <xf numFmtId="0" fontId="0" fillId="6" borderId="0" xfId="0" applyFill="1" applyBorder="1"/>
    <xf numFmtId="0" fontId="0" fillId="6" borderId="0" xfId="0" applyFill="1" applyBorder="1" applyAlignment="1">
      <alignment horizontal="center" vertical="center"/>
    </xf>
    <xf numFmtId="2" fontId="0" fillId="6" borderId="0" xfId="0" applyNumberFormat="1" applyFill="1" applyBorder="1" applyAlignment="1">
      <alignment horizontal="center" vertical="center"/>
    </xf>
    <xf numFmtId="10" fontId="3" fillId="5" borderId="5" xfId="4" applyNumberFormat="1" applyFont="1" applyFill="1" applyBorder="1" applyAlignment="1">
      <alignment horizontal="center" vertical="center"/>
    </xf>
    <xf numFmtId="0" fontId="2" fillId="3" borderId="9" xfId="2" applyBorder="1" applyAlignment="1">
      <alignment vertical="center"/>
    </xf>
    <xf numFmtId="0" fontId="2" fillId="3" borderId="3" xfId="2" applyBorder="1" applyAlignment="1">
      <alignment horizontal="center" vertical="center"/>
    </xf>
    <xf numFmtId="0" fontId="2" fillId="6" borderId="0" xfId="0" applyFont="1" applyFill="1"/>
    <xf numFmtId="1" fontId="2" fillId="6" borderId="0" xfId="0" applyNumberFormat="1" applyFont="1" applyFill="1"/>
    <xf numFmtId="0" fontId="0" fillId="6" borderId="0" xfId="0" applyFill="1" applyAlignment="1">
      <alignment horizontal="left" vertical="center" wrapText="1"/>
    </xf>
    <xf numFmtId="0" fontId="9" fillId="14" borderId="2" xfId="12" applyFont="1" applyBorder="1" applyAlignment="1">
      <alignment horizontal="center" vertical="center"/>
    </xf>
    <xf numFmtId="0" fontId="12" fillId="6" borderId="0" xfId="0" applyFont="1" applyFill="1" applyBorder="1" applyAlignment="1">
      <alignment vertical="center"/>
    </xf>
    <xf numFmtId="0" fontId="11" fillId="6" borderId="0" xfId="0" applyFont="1" applyFill="1" applyBorder="1" applyAlignment="1">
      <alignment horizontal="left" vertical="center" wrapText="1"/>
    </xf>
    <xf numFmtId="0" fontId="0" fillId="6" borderId="0" xfId="0" applyFont="1" applyFill="1" applyAlignment="1">
      <alignment horizontal="center" vertical="center" wrapText="1"/>
    </xf>
    <xf numFmtId="0" fontId="0" fillId="6" borderId="0" xfId="0" applyFont="1" applyFill="1" applyAlignment="1">
      <alignment vertical="center" wrapText="1"/>
    </xf>
    <xf numFmtId="0" fontId="0" fillId="16" borderId="0" xfId="0" applyFill="1"/>
    <xf numFmtId="0" fontId="2" fillId="3" borderId="2" xfId="2" applyBorder="1" applyAlignment="1">
      <alignment horizontal="center" vertical="center"/>
    </xf>
    <xf numFmtId="0" fontId="6" fillId="6" borderId="0" xfId="5" applyFill="1"/>
    <xf numFmtId="0" fontId="0" fillId="6" borderId="0" xfId="0" applyFont="1" applyFill="1"/>
    <xf numFmtId="1" fontId="0" fillId="6" borderId="0" xfId="0" applyNumberFormat="1" applyFill="1" applyBorder="1" applyAlignment="1">
      <alignment horizontal="center" vertical="center"/>
    </xf>
    <xf numFmtId="0" fontId="2" fillId="3" borderId="2" xfId="2" applyBorder="1" applyAlignment="1">
      <alignment horizontal="center" vertical="center"/>
    </xf>
    <xf numFmtId="0" fontId="1" fillId="17" borderId="4" xfId="13" applyBorder="1" applyAlignment="1">
      <alignment horizontal="center" vertical="center"/>
    </xf>
    <xf numFmtId="0" fontId="2" fillId="6" borderId="0" xfId="0" applyFont="1" applyFill="1" applyAlignment="1">
      <alignment horizontal="center" vertical="center"/>
    </xf>
    <xf numFmtId="1" fontId="2" fillId="6" borderId="0" xfId="0" applyNumberFormat="1" applyFont="1" applyFill="1" applyAlignment="1">
      <alignment horizontal="center" vertical="center"/>
    </xf>
    <xf numFmtId="0" fontId="3" fillId="6" borderId="0" xfId="0" applyFont="1" applyFill="1" applyBorder="1"/>
    <xf numFmtId="0" fontId="2" fillId="6" borderId="0" xfId="2" applyFont="1" applyFill="1" applyBorder="1" applyAlignment="1">
      <alignment horizontal="center" vertical="center"/>
    </xf>
    <xf numFmtId="1" fontId="2" fillId="6" borderId="0" xfId="10" applyNumberFormat="1" applyFont="1" applyFill="1" applyBorder="1" applyAlignment="1">
      <alignment horizontal="center" vertical="center"/>
    </xf>
    <xf numFmtId="1" fontId="2" fillId="6" borderId="0" xfId="11" applyNumberFormat="1" applyFont="1" applyFill="1" applyBorder="1" applyAlignment="1">
      <alignment horizontal="center" vertical="center"/>
    </xf>
    <xf numFmtId="0" fontId="2" fillId="3" borderId="2" xfId="2" applyBorder="1" applyAlignment="1">
      <alignment horizontal="center" vertical="center"/>
    </xf>
    <xf numFmtId="0" fontId="2" fillId="3" borderId="2" xfId="2" applyBorder="1" applyAlignment="1">
      <alignment horizontal="center" vertical="center"/>
    </xf>
    <xf numFmtId="0" fontId="2" fillId="6" borderId="0" xfId="0" applyFont="1" applyFill="1" applyBorder="1"/>
    <xf numFmtId="44" fontId="2" fillId="6" borderId="0" xfId="9" applyNumberFormat="1" applyFont="1" applyFill="1" applyBorder="1"/>
    <xf numFmtId="0" fontId="3" fillId="6" borderId="0" xfId="0" applyFont="1" applyFill="1"/>
    <xf numFmtId="0" fontId="3" fillId="6" borderId="0" xfId="0" applyFont="1" applyFill="1" applyBorder="1" applyAlignment="1">
      <alignment horizontal="center" vertical="center"/>
    </xf>
    <xf numFmtId="2" fontId="3" fillId="6" borderId="0" xfId="0" applyNumberFormat="1" applyFont="1" applyFill="1" applyBorder="1" applyAlignment="1">
      <alignment horizontal="center" vertical="center"/>
    </xf>
    <xf numFmtId="1" fontId="2" fillId="6" borderId="0" xfId="0" applyNumberFormat="1" applyFont="1" applyFill="1" applyBorder="1" applyAlignment="1">
      <alignment horizontal="center" vertical="center"/>
    </xf>
    <xf numFmtId="0" fontId="0" fillId="6" borderId="0" xfId="0" applyFont="1" applyFill="1" applyBorder="1"/>
    <xf numFmtId="0" fontId="2" fillId="6" borderId="0" xfId="0" applyFont="1" applyFill="1" applyBorder="1" applyAlignment="1">
      <alignment horizontal="center" vertical="center"/>
    </xf>
    <xf numFmtId="2" fontId="9" fillId="14" borderId="2" xfId="12" applyNumberFormat="1" applyFont="1" applyBorder="1" applyAlignment="1">
      <alignment horizontal="center" vertical="center"/>
    </xf>
    <xf numFmtId="164" fontId="9" fillId="14" borderId="2" xfId="12" applyNumberFormat="1" applyFont="1" applyBorder="1" applyAlignment="1">
      <alignment horizontal="center" vertical="center"/>
    </xf>
    <xf numFmtId="1" fontId="9" fillId="14" borderId="2" xfId="12" applyNumberFormat="1" applyFont="1" applyBorder="1" applyAlignment="1">
      <alignment horizontal="center" vertical="center"/>
    </xf>
    <xf numFmtId="0" fontId="3" fillId="6" borderId="0" xfId="2" applyFont="1" applyFill="1" applyBorder="1" applyAlignment="1">
      <alignment horizontal="center" vertical="center"/>
    </xf>
    <xf numFmtId="164" fontId="2" fillId="6" borderId="0" xfId="10" applyNumberFormat="1" applyFont="1" applyFill="1" applyBorder="1" applyAlignment="1">
      <alignment horizontal="center" vertical="center"/>
    </xf>
    <xf numFmtId="164" fontId="2" fillId="6" borderId="0" xfId="11" applyNumberFormat="1" applyFont="1" applyFill="1" applyBorder="1" applyAlignment="1">
      <alignment horizontal="center" vertical="center"/>
    </xf>
    <xf numFmtId="164" fontId="1" fillId="12" borderId="2" xfId="10" applyNumberFormat="1" applyFont="1" applyBorder="1" applyAlignment="1">
      <alignment horizontal="center" vertical="center"/>
    </xf>
    <xf numFmtId="164" fontId="1" fillId="13" borderId="2" xfId="11" applyNumberFormat="1" applyFont="1" applyBorder="1" applyAlignment="1">
      <alignment horizontal="center" vertical="center"/>
    </xf>
    <xf numFmtId="1" fontId="2" fillId="6" borderId="0" xfId="0" applyNumberFormat="1" applyFont="1" applyFill="1" applyBorder="1"/>
    <xf numFmtId="1" fontId="3" fillId="0" borderId="0" xfId="0" applyNumberFormat="1" applyFont="1"/>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18" fillId="3" borderId="2" xfId="2" applyFont="1" applyBorder="1" applyAlignment="1">
      <alignment horizontal="center" vertical="center"/>
    </xf>
    <xf numFmtId="0" fontId="20" fillId="3" borderId="2" xfId="2" applyFont="1" applyBorder="1" applyAlignment="1">
      <alignment horizontal="center" vertical="center"/>
    </xf>
    <xf numFmtId="0" fontId="2" fillId="3" borderId="4" xfId="2" applyBorder="1" applyAlignment="1">
      <alignment horizontal="center" vertical="center"/>
    </xf>
    <xf numFmtId="0" fontId="2" fillId="3" borderId="6" xfId="2" applyBorder="1" applyAlignment="1">
      <alignment horizontal="center" vertical="center"/>
    </xf>
    <xf numFmtId="0" fontId="2" fillId="3" borderId="5" xfId="2" applyBorder="1" applyAlignment="1">
      <alignment horizontal="center" vertical="center"/>
    </xf>
    <xf numFmtId="0" fontId="11" fillId="6" borderId="0" xfId="0" applyFont="1" applyFill="1" applyAlignment="1">
      <alignment horizontal="center" vertical="center" wrapText="1"/>
    </xf>
    <xf numFmtId="0" fontId="17" fillId="3" borderId="2" xfId="2" applyFont="1" applyBorder="1" applyAlignment="1">
      <alignment horizontal="center" vertical="center"/>
    </xf>
    <xf numFmtId="0" fontId="2" fillId="3" borderId="2" xfId="2" applyBorder="1" applyAlignment="1">
      <alignment horizontal="center" vertical="center"/>
    </xf>
    <xf numFmtId="0" fontId="19" fillId="0" borderId="2" xfId="0" applyFont="1" applyBorder="1" applyAlignment="1">
      <alignment horizontal="center" vertical="center"/>
    </xf>
    <xf numFmtId="0" fontId="10" fillId="0" borderId="2" xfId="0" applyFont="1" applyBorder="1" applyAlignment="1">
      <alignment horizontal="center" vertical="center"/>
    </xf>
    <xf numFmtId="0" fontId="15" fillId="3" borderId="2" xfId="2" applyFont="1" applyBorder="1" applyAlignment="1">
      <alignment horizontal="center" vertical="center"/>
    </xf>
    <xf numFmtId="0" fontId="16" fillId="10" borderId="2" xfId="8" applyFont="1" applyBorder="1" applyAlignment="1">
      <alignment horizontal="center" vertical="center"/>
    </xf>
    <xf numFmtId="0" fontId="15" fillId="3" borderId="4" xfId="2" applyFont="1" applyBorder="1" applyAlignment="1">
      <alignment horizontal="center" vertical="center"/>
    </xf>
    <xf numFmtId="0" fontId="15" fillId="3" borderId="5" xfId="2" applyFont="1" applyBorder="1" applyAlignment="1">
      <alignment horizontal="center" vertical="center"/>
    </xf>
    <xf numFmtId="0" fontId="0" fillId="6" borderId="0" xfId="0" applyFont="1" applyFill="1" applyAlignment="1">
      <alignment horizontal="left" vertical="center" wrapText="1"/>
    </xf>
    <xf numFmtId="0" fontId="0" fillId="6" borderId="0" xfId="0" applyFont="1" applyFill="1" applyBorder="1" applyAlignment="1">
      <alignment horizontal="center" vertical="center" wrapText="1"/>
    </xf>
    <xf numFmtId="0" fontId="12" fillId="6" borderId="0" xfId="0" applyFont="1" applyFill="1" applyBorder="1" applyAlignment="1">
      <alignment horizontal="center" vertical="center"/>
    </xf>
    <xf numFmtId="0" fontId="0" fillId="6" borderId="0" xfId="0" applyFill="1" applyAlignment="1">
      <alignment horizontal="left" vertical="center" wrapText="1"/>
    </xf>
    <xf numFmtId="0" fontId="0" fillId="6" borderId="0" xfId="0" applyFont="1" applyFill="1" applyAlignment="1">
      <alignment horizontal="left" vertical="center"/>
    </xf>
    <xf numFmtId="0" fontId="0" fillId="6" borderId="0" xfId="0" applyFill="1" applyAlignment="1">
      <alignment horizontal="left" vertical="center"/>
    </xf>
    <xf numFmtId="0" fontId="0" fillId="6" borderId="0" xfId="0" applyFill="1" applyAlignment="1">
      <alignment horizontal="center" vertical="center" wrapText="1"/>
    </xf>
    <xf numFmtId="0" fontId="14" fillId="6" borderId="0" xfId="0" applyFont="1" applyFill="1" applyAlignment="1">
      <alignment horizontal="left"/>
    </xf>
    <xf numFmtId="0" fontId="0" fillId="15" borderId="2" xfId="0" applyFill="1" applyBorder="1" applyAlignment="1">
      <alignment vertical="top" wrapText="1"/>
    </xf>
    <xf numFmtId="0" fontId="0" fillId="6" borderId="2" xfId="0" applyFill="1" applyBorder="1" applyAlignment="1">
      <alignment vertical="top" wrapText="1"/>
    </xf>
    <xf numFmtId="0" fontId="0" fillId="6" borderId="7" xfId="0" applyFill="1" applyBorder="1" applyAlignment="1">
      <alignment vertical="top" wrapText="1"/>
    </xf>
    <xf numFmtId="0" fontId="0" fillId="6" borderId="10" xfId="0" applyFill="1" applyBorder="1" applyAlignment="1">
      <alignment vertical="top" wrapText="1"/>
    </xf>
    <xf numFmtId="0" fontId="0" fillId="6" borderId="8" xfId="0" applyFill="1" applyBorder="1" applyAlignment="1">
      <alignment vertical="top" wrapText="1"/>
    </xf>
    <xf numFmtId="0" fontId="0" fillId="6" borderId="11" xfId="0" applyFill="1" applyBorder="1" applyAlignment="1">
      <alignment vertical="top" wrapText="1"/>
    </xf>
    <xf numFmtId="0" fontId="0" fillId="6" borderId="0" xfId="0" applyFill="1" applyBorder="1" applyAlignment="1">
      <alignment vertical="top" wrapText="1"/>
    </xf>
    <xf numFmtId="0" fontId="0" fillId="6" borderId="12" xfId="0" applyFill="1" applyBorder="1" applyAlignment="1">
      <alignment vertical="top" wrapText="1"/>
    </xf>
    <xf numFmtId="0" fontId="0" fillId="6" borderId="13" xfId="0" applyFill="1" applyBorder="1" applyAlignment="1">
      <alignment vertical="top" wrapText="1"/>
    </xf>
    <xf numFmtId="0" fontId="0" fillId="6" borderId="14" xfId="0" applyFill="1" applyBorder="1" applyAlignment="1">
      <alignment vertical="top" wrapText="1"/>
    </xf>
    <xf numFmtId="0" fontId="0" fillId="6" borderId="9" xfId="0" applyFill="1" applyBorder="1" applyAlignment="1">
      <alignment vertical="top" wrapText="1"/>
    </xf>
    <xf numFmtId="0" fontId="0" fillId="15" borderId="2" xfId="0" quotePrefix="1" applyFill="1" applyBorder="1" applyAlignment="1">
      <alignment horizontal="left" vertical="top" wrapText="1"/>
    </xf>
  </cellXfs>
  <cellStyles count="14">
    <cellStyle name="20% - Ênfase3" xfId="10" builtinId="38"/>
    <cellStyle name="20% - Ênfase4" xfId="7" builtinId="42"/>
    <cellStyle name="40% - Ênfase2" xfId="12" builtinId="35"/>
    <cellStyle name="40% - Ênfase4" xfId="8" builtinId="43"/>
    <cellStyle name="40% - Ênfase5" xfId="9" builtinId="47"/>
    <cellStyle name="60% - Ênfase3" xfId="11" builtinId="40"/>
    <cellStyle name="60% - Ênfase5" xfId="13" builtinId="48"/>
    <cellStyle name="Ênfase1" xfId="2" builtinId="29"/>
    <cellStyle name="Ênfase2" xfId="6" builtinId="33"/>
    <cellStyle name="Hiperlink" xfId="5" builtinId="8"/>
    <cellStyle name="Moeda" xfId="3" builtinId="4"/>
    <cellStyle name="Normal" xfId="0" builtinId="0"/>
    <cellStyle name="Nota" xfId="1" builtinId="10"/>
    <cellStyle name="Porcentagem" xfId="4" builtinId="5"/>
  </cellStyles>
  <dxfs count="36">
    <dxf>
      <fill>
        <patternFill>
          <bgColor theme="2" tint="-0.749961851863155"/>
        </patternFill>
      </fill>
    </dxf>
    <dxf>
      <fill>
        <patternFill>
          <fgColor theme="1"/>
          <bgColor theme="2" tint="-0.499984740745262"/>
        </patternFill>
      </fill>
      <border>
        <left style="thin">
          <color auto="1"/>
        </left>
        <right style="thin">
          <color auto="1"/>
        </right>
        <top style="thin">
          <color auto="1"/>
        </top>
        <bottom style="thin">
          <color auto="1"/>
        </bottom>
        <vertical/>
        <horizontal/>
      </border>
    </dxf>
    <dxf>
      <fill>
        <patternFill>
          <bgColor theme="2" tint="-0.749961851863155"/>
        </patternFill>
      </fill>
    </dxf>
    <dxf>
      <fill>
        <patternFill>
          <fgColor theme="1"/>
          <bgColor theme="2" tint="-0.499984740745262"/>
        </patternFill>
      </fill>
      <border>
        <left style="thin">
          <color auto="1"/>
        </left>
        <right style="thin">
          <color auto="1"/>
        </right>
        <top style="thin">
          <color auto="1"/>
        </top>
        <bottom style="thin">
          <color auto="1"/>
        </bottom>
        <vertical/>
        <horizontal/>
      </border>
    </dxf>
    <dxf>
      <fill>
        <patternFill>
          <bgColor theme="2" tint="-0.749961851863155"/>
        </patternFill>
      </fill>
    </dxf>
    <dxf>
      <fill>
        <patternFill>
          <fgColor theme="1"/>
          <bgColor theme="2" tint="-0.499984740745262"/>
        </patternFill>
      </fill>
      <border>
        <left style="thin">
          <color auto="1"/>
        </left>
        <right style="thin">
          <color auto="1"/>
        </right>
        <top style="thin">
          <color auto="1"/>
        </top>
        <bottom style="thin">
          <color auto="1"/>
        </bottom>
        <vertical/>
        <horizontal/>
      </border>
    </dxf>
    <dxf>
      <fill>
        <patternFill>
          <bgColor theme="2" tint="-0.749961851863155"/>
        </patternFill>
      </fill>
    </dxf>
    <dxf>
      <fill>
        <patternFill>
          <fgColor theme="1"/>
          <bgColor theme="2" tint="-0.499984740745262"/>
        </patternFill>
      </fill>
      <border>
        <left style="thin">
          <color auto="1"/>
        </left>
        <right style="thin">
          <color auto="1"/>
        </right>
        <top style="thin">
          <color auto="1"/>
        </top>
        <bottom style="thin">
          <color auto="1"/>
        </bottom>
        <vertical/>
        <horizontal/>
      </border>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fgColor theme="1"/>
          <bgColor theme="2" tint="-0.499984740745262"/>
        </patternFill>
      </fill>
      <border>
        <left style="thin">
          <color auto="1"/>
        </left>
        <right style="thin">
          <color auto="1"/>
        </right>
        <top style="thin">
          <color auto="1"/>
        </top>
        <bottom style="thin">
          <color auto="1"/>
        </bottom>
        <vertical/>
        <horizontal/>
      </border>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fgColor theme="1"/>
          <bgColor theme="2" tint="-0.499984740745262"/>
        </patternFill>
      </fill>
      <border>
        <left style="thin">
          <color auto="1"/>
        </left>
        <right style="thin">
          <color auto="1"/>
        </right>
        <top style="thin">
          <color auto="1"/>
        </top>
        <bottom style="thin">
          <color auto="1"/>
        </bottom>
        <vertical/>
        <horizontal/>
      </border>
    </dxf>
    <dxf>
      <fill>
        <patternFill>
          <bgColor theme="2" tint="-0.749961851863155"/>
        </patternFill>
      </fill>
    </dxf>
    <dxf>
      <fill>
        <patternFill>
          <fgColor theme="1"/>
          <bgColor theme="2" tint="-0.499984740745262"/>
        </patternFill>
      </fill>
      <border>
        <left style="thin">
          <color auto="1"/>
        </left>
        <right style="thin">
          <color auto="1"/>
        </right>
        <top style="thin">
          <color auto="1"/>
        </top>
        <bottom style="thin">
          <color auto="1"/>
        </bottom>
        <vertical/>
        <horizontal/>
      </border>
    </dxf>
    <dxf>
      <fill>
        <patternFill>
          <bgColor theme="2" tint="-0.749961851863155"/>
        </patternFill>
      </fill>
    </dxf>
    <dxf>
      <fill>
        <patternFill>
          <fgColor theme="1"/>
          <bgColor theme="2" tint="-0.499984740745262"/>
        </patternFill>
      </fill>
      <border>
        <left style="thin">
          <color auto="1"/>
        </left>
        <right style="thin">
          <color auto="1"/>
        </right>
        <top style="thin">
          <color auto="1"/>
        </top>
        <bottom style="thin">
          <color auto="1"/>
        </bottom>
        <vertical/>
        <horizontal/>
      </border>
    </dxf>
    <dxf>
      <fill>
        <patternFill>
          <bgColor theme="2" tint="-0.749961851863155"/>
        </patternFill>
      </fill>
    </dxf>
    <dxf>
      <fill>
        <patternFill>
          <fgColor theme="1"/>
          <bgColor theme="2" tint="-0.499984740745262"/>
        </patternFill>
      </fill>
      <border>
        <left style="thin">
          <color auto="1"/>
        </left>
        <right style="thin">
          <color auto="1"/>
        </right>
        <top style="thin">
          <color auto="1"/>
        </top>
        <bottom style="thin">
          <color auto="1"/>
        </bottom>
        <vertical/>
        <horizontal/>
      </border>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fgColor theme="1"/>
          <bgColor theme="2" tint="-0.499984740745262"/>
        </patternFill>
      </fill>
      <border>
        <left style="thin">
          <color auto="1"/>
        </left>
        <right style="thin">
          <color auto="1"/>
        </right>
        <top style="thin">
          <color auto="1"/>
        </top>
        <bottom style="thin">
          <color auto="1"/>
        </bottom>
        <vertical/>
        <horizontal/>
      </border>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021930809524659"/>
          <c:y val="2.8333550485793384E-2"/>
          <c:w val="0.71549940348365548"/>
          <c:h val="0.7076371460634558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'Mini índice'!$I$4:$I$14</c:f>
              <c:numCache>
                <c:formatCode>0</c:formatCode>
                <c:ptCount val="11"/>
                <c:pt idx="0">
                  <c:v>0</c:v>
                </c:pt>
                <c:pt idx="1">
                  <c:v>130</c:v>
                </c:pt>
                <c:pt idx="2">
                  <c:v>380</c:v>
                </c:pt>
                <c:pt idx="3">
                  <c:v>730</c:v>
                </c:pt>
                <c:pt idx="4">
                  <c:v>1130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0FA1-4569-A786-9A4D084BA513}"/>
            </c:ext>
          </c:extLst>
        </c:ser>
        <c:ser>
          <c:idx val="1"/>
          <c:order val="1"/>
          <c:tx>
            <c:v>Preço Médio</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'Mini índice'!$P$4:$P$14</c:f>
              <c:numCache>
                <c:formatCode>0.00</c:formatCode>
                <c:ptCount val="11"/>
                <c:pt idx="0" formatCode="0">
                  <c:v>0</c:v>
                </c:pt>
                <c:pt idx="1">
                  <c:v>65</c:v>
                </c:pt>
                <c:pt idx="2">
                  <c:v>222.5</c:v>
                </c:pt>
                <c:pt idx="3">
                  <c:v>476.25</c:v>
                </c:pt>
                <c:pt idx="4">
                  <c:v>803.125</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0FA1-4569-A786-9A4D084BA513}"/>
            </c:ext>
          </c:extLst>
        </c:ser>
        <c:ser>
          <c:idx val="2"/>
          <c:order val="2"/>
          <c:tx>
            <c:v>Stop</c:v>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'Mini índice'!$B$4</c:f>
              <c:numCache>
                <c:formatCode>0</c:formatCode>
                <c:ptCount val="1"/>
                <c:pt idx="0">
                  <c:v>1500</c:v>
                </c:pt>
              </c:numCache>
            </c:numRef>
          </c:val>
          <c:smooth val="0"/>
          <c:extLst>
            <c:ext xmlns:c16="http://schemas.microsoft.com/office/drawing/2014/chart" uri="{C3380CC4-5D6E-409C-BE32-E72D297353CC}">
              <c16:uniqueId val="{00000002-0FA1-4569-A786-9A4D084BA513}"/>
            </c:ext>
          </c:extLst>
        </c:ser>
        <c:dLbls>
          <c:dLblPos val="t"/>
          <c:showLegendKey val="0"/>
          <c:showVal val="1"/>
          <c:showCatName val="0"/>
          <c:showSerName val="0"/>
          <c:showPercent val="0"/>
          <c:showBubbleSize val="0"/>
        </c:dLbls>
        <c:marker val="1"/>
        <c:smooth val="0"/>
        <c:axId val="486714096"/>
        <c:axId val="489382192"/>
        <c:extLst>
          <c:ext xmlns:c15="http://schemas.microsoft.com/office/drawing/2012/chart" uri="{02D57815-91ED-43cb-92C2-25804820EDAC}">
            <c15:filteredLineSeries>
              <c15:ser>
                <c:idx val="3"/>
                <c:order val="3"/>
                <c:tx>
                  <c:v>Take Profit</c:v>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pt-BR"/>
                    </a:p>
                  </c:txPr>
                  <c:dLblPos val="t"/>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'Mini índice'!$Q$4:$Q$14</c15:sqref>
                        </c15:formulaRef>
                      </c:ext>
                    </c:extLst>
                    <c:numCache>
                      <c:formatCode>0.00</c:formatCode>
                      <c:ptCount val="11"/>
                      <c:pt idx="0">
                        <c:v>100</c:v>
                      </c:pt>
                      <c:pt idx="1">
                        <c:v>15065</c:v>
                      </c:pt>
                      <c:pt idx="2">
                        <c:v>15222.5</c:v>
                      </c:pt>
                      <c:pt idx="3">
                        <c:v>15476.25</c:v>
                      </c:pt>
                      <c:pt idx="4">
                        <c:v>15803.125</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3-0FA1-4569-A786-9A4D084BA513}"/>
                  </c:ext>
                </c:extLst>
              </c15:ser>
            </c15:filteredLineSeries>
          </c:ext>
        </c:extLst>
      </c:lineChart>
      <c:catAx>
        <c:axId val="486714096"/>
        <c:scaling>
          <c:orientation val="minMax"/>
        </c:scaling>
        <c:delete val="0"/>
        <c:axPos val="b"/>
        <c:numFmt formatCode="0.0"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pt-BR"/>
          </a:p>
        </c:txPr>
        <c:crossAx val="489382192"/>
        <c:crosses val="autoZero"/>
        <c:auto val="1"/>
        <c:lblAlgn val="ctr"/>
        <c:lblOffset val="100"/>
        <c:noMultiLvlLbl val="0"/>
      </c:catAx>
      <c:valAx>
        <c:axId val="489382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pt-BR"/>
          </a:p>
        </c:txPr>
        <c:crossAx val="4867140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ln>
                  <a:noFill/>
                </a:ln>
                <a:solidFill>
                  <a:schemeClr val="tx1"/>
                </a:solidFill>
                <a:latin typeface="+mn-lt"/>
                <a:ea typeface="+mn-ea"/>
                <a:cs typeface="+mn-cs"/>
              </a:defRPr>
            </a:pPr>
            <a:endParaRPr lang="pt-BR"/>
          </a:p>
        </c:txPr>
      </c:dTable>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n>
            <a:noFill/>
          </a:ln>
          <a:solidFill>
            <a:schemeClr val="tx1"/>
          </a:solidFill>
        </a:defRPr>
      </a:pPr>
      <a:endParaRPr lang="pt-BR"/>
    </a:p>
  </c:tx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3609803282781142"/>
          <c:y val="5.3817755282615258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095477681903182"/>
          <c:y val="0.1490351023331104"/>
          <c:w val="0.8121868632235667"/>
          <c:h val="0.73650374098322346"/>
        </c:manualLayout>
      </c:layout>
      <c:lineChart>
        <c:grouping val="stacked"/>
        <c:varyColors val="0"/>
        <c:ser>
          <c:idx val="0"/>
          <c:order val="0"/>
          <c:tx>
            <c:strRef>
              <c:f>'Estratégias Mini Índice'!$D$82:$F$82</c:f>
              <c:strCache>
                <c:ptCount val="1"/>
                <c:pt idx="0">
                  <c:v>Oscilante 2</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Índice'!$P$83:$P$91</c:f>
              <c:numCache>
                <c:formatCode>0</c:formatCode>
                <c:ptCount val="9"/>
                <c:pt idx="0" formatCode="General">
                  <c:v>0</c:v>
                </c:pt>
                <c:pt idx="1">
                  <c:v>345</c:v>
                </c:pt>
                <c:pt idx="2">
                  <c:v>525</c:v>
                </c:pt>
                <c:pt idx="3">
                  <c:v>630</c:v>
                </c:pt>
                <c:pt idx="4">
                  <c:v>720</c:v>
                </c:pt>
                <c:pt idx="5">
                  <c:v>825</c:v>
                </c:pt>
                <c:pt idx="6">
                  <c:v>945</c:v>
                </c:pt>
                <c:pt idx="7">
                  <c:v>1155</c:v>
                </c:pt>
                <c:pt idx="8">
                  <c:v>1380</c:v>
                </c:pt>
              </c:numCache>
            </c:numRef>
          </c:val>
          <c:smooth val="0"/>
          <c:extLst>
            <c:ext xmlns:c16="http://schemas.microsoft.com/office/drawing/2014/chart" uri="{C3380CC4-5D6E-409C-BE32-E72D297353CC}">
              <c16:uniqueId val="{00000000-6148-4DF4-975E-71F110D641F4}"/>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20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7700375147496248"/>
          <c:y val="2.128602806906394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095477681903182"/>
          <c:y val="0.19640358017949625"/>
          <c:w val="0.8121868632235667"/>
          <c:h val="0.68913542603445788"/>
        </c:manualLayout>
      </c:layout>
      <c:lineChart>
        <c:grouping val="stacked"/>
        <c:varyColors val="0"/>
        <c:ser>
          <c:idx val="0"/>
          <c:order val="0"/>
          <c:tx>
            <c:strRef>
              <c:f>'Estratégias Mini Índice'!$D$27:$F$27</c:f>
              <c:strCache>
                <c:ptCount val="1"/>
                <c:pt idx="0">
                  <c:v>Progressivo alto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Índice'!$P$28:$P$37</c:f>
              <c:numCache>
                <c:formatCode>0</c:formatCode>
                <c:ptCount val="10"/>
                <c:pt idx="0" formatCode="General">
                  <c:v>0</c:v>
                </c:pt>
                <c:pt idx="1">
                  <c:v>145</c:v>
                </c:pt>
                <c:pt idx="2">
                  <c:v>270</c:v>
                </c:pt>
                <c:pt idx="3">
                  <c:v>405</c:v>
                </c:pt>
                <c:pt idx="4">
                  <c:v>540</c:v>
                </c:pt>
                <c:pt idx="5">
                  <c:v>675</c:v>
                </c:pt>
                <c:pt idx="6">
                  <c:v>900</c:v>
                </c:pt>
                <c:pt idx="7">
                  <c:v>1200</c:v>
                </c:pt>
                <c:pt idx="8">
                  <c:v>1350</c:v>
                </c:pt>
                <c:pt idx="9">
                  <c:v>1440</c:v>
                </c:pt>
              </c:numCache>
            </c:numRef>
          </c:val>
          <c:smooth val="0"/>
          <c:extLst>
            <c:ext xmlns:c16="http://schemas.microsoft.com/office/drawing/2014/chart" uri="{C3380CC4-5D6E-409C-BE32-E72D297353CC}">
              <c16:uniqueId val="{00000000-58E8-47D3-8380-BDA71622CF1F}"/>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20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4573319211356925"/>
          <c:y val="2.71370188681341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095477681903182"/>
          <c:y val="0.19640358017949625"/>
          <c:w val="0.8121868632235667"/>
          <c:h val="0.68913542603445788"/>
        </c:manualLayout>
      </c:layout>
      <c:lineChart>
        <c:grouping val="stacked"/>
        <c:varyColors val="0"/>
        <c:ser>
          <c:idx val="0"/>
          <c:order val="0"/>
          <c:tx>
            <c:strRef>
              <c:f>'Estratégias Mini Índice'!$D$38:$F$38</c:f>
              <c:strCache>
                <c:ptCount val="1"/>
                <c:pt idx="0">
                  <c:v>Progressivo não linear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Índice'!$O$39:$O$47</c:f>
              <c:numCache>
                <c:formatCode>0</c:formatCode>
                <c:ptCount val="9"/>
                <c:pt idx="1">
                  <c:v>135</c:v>
                </c:pt>
                <c:pt idx="2">
                  <c:v>255</c:v>
                </c:pt>
                <c:pt idx="3">
                  <c:v>375</c:v>
                </c:pt>
                <c:pt idx="4">
                  <c:v>510</c:v>
                </c:pt>
                <c:pt idx="5">
                  <c:v>630</c:v>
                </c:pt>
                <c:pt idx="6">
                  <c:v>750</c:v>
                </c:pt>
                <c:pt idx="7">
                  <c:v>1035</c:v>
                </c:pt>
                <c:pt idx="8">
                  <c:v>1350</c:v>
                </c:pt>
              </c:numCache>
            </c:numRef>
          </c:val>
          <c:smooth val="0"/>
          <c:extLst>
            <c:ext xmlns:c16="http://schemas.microsoft.com/office/drawing/2014/chart" uri="{C3380CC4-5D6E-409C-BE32-E72D297353CC}">
              <c16:uniqueId val="{00000000-58E8-47D3-8380-BDA71622CF1F}"/>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20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524906568458026"/>
          <c:y val="0.14886932463396868"/>
          <c:w val="0.8121868632235667"/>
          <c:h val="0.73191626811629462"/>
        </c:manualLayout>
      </c:layout>
      <c:lineChart>
        <c:grouping val="stacked"/>
        <c:varyColors val="0"/>
        <c:ser>
          <c:idx val="0"/>
          <c:order val="0"/>
          <c:tx>
            <c:strRef>
              <c:f>'Estratégias Mini Índice'!$D$49:$F$49</c:f>
              <c:strCache>
                <c:ptCount val="1"/>
                <c:pt idx="0">
                  <c:v>Progressivo não linear 2</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Índice'!$P$50:$P$57</c:f>
              <c:numCache>
                <c:formatCode>General</c:formatCode>
                <c:ptCount val="8"/>
                <c:pt idx="0">
                  <c:v>0</c:v>
                </c:pt>
                <c:pt idx="1">
                  <c:v>150</c:v>
                </c:pt>
                <c:pt idx="2">
                  <c:v>285</c:v>
                </c:pt>
                <c:pt idx="3">
                  <c:v>420</c:v>
                </c:pt>
                <c:pt idx="4">
                  <c:v>555</c:v>
                </c:pt>
                <c:pt idx="5">
                  <c:v>795</c:v>
                </c:pt>
                <c:pt idx="6">
                  <c:v>1080</c:v>
                </c:pt>
                <c:pt idx="7">
                  <c:v>1365</c:v>
                </c:pt>
              </c:numCache>
            </c:numRef>
          </c:val>
          <c:smooth val="0"/>
          <c:extLst>
            <c:ext xmlns:c16="http://schemas.microsoft.com/office/drawing/2014/chart" uri="{C3380CC4-5D6E-409C-BE32-E72D297353CC}">
              <c16:uniqueId val="{00000000-58E8-47D3-8380-BDA71622CF1F}"/>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20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95477681903182"/>
          <c:y val="7.4051866630760951E-2"/>
          <c:w val="0.8121868632235667"/>
          <c:h val="0.81148719849636408"/>
        </c:manualLayout>
      </c:layout>
      <c:lineChart>
        <c:grouping val="standard"/>
        <c:varyColors val="0"/>
        <c:ser>
          <c:idx val="0"/>
          <c:order val="0"/>
          <c:tx>
            <c:strRef>
              <c:f>'Take Profit Mini Índice'!$F$5</c:f>
              <c:strCache>
                <c:ptCount val="1"/>
                <c:pt idx="0">
                  <c:v>3 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'Take Profit Mini Índice'!$F$6:$F$9</c:f>
              <c:numCache>
                <c:formatCode>0</c:formatCode>
                <c:ptCount val="4"/>
                <c:pt idx="0">
                  <c:v>125</c:v>
                </c:pt>
                <c:pt idx="1">
                  <c:v>75</c:v>
                </c:pt>
                <c:pt idx="2">
                  <c:v>30</c:v>
                </c:pt>
                <c:pt idx="3">
                  <c:v>5</c:v>
                </c:pt>
              </c:numCache>
            </c:numRef>
          </c:val>
          <c:smooth val="0"/>
          <c:extLst>
            <c:ext xmlns:c16="http://schemas.microsoft.com/office/drawing/2014/chart" uri="{C3380CC4-5D6E-409C-BE32-E72D297353CC}">
              <c16:uniqueId val="{00000000-1B27-46E5-8FDD-018DC9B7F652}"/>
            </c:ext>
          </c:extLst>
        </c:ser>
        <c:ser>
          <c:idx val="1"/>
          <c:order val="1"/>
          <c:tx>
            <c:strRef>
              <c:f>'Take Profit Mini Índice'!$G$5</c:f>
              <c:strCache>
                <c:ptCount val="1"/>
                <c:pt idx="0">
                  <c:v>4 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'Take Profit Mini Índice'!$G$6:$G$10</c:f>
              <c:numCache>
                <c:formatCode>0</c:formatCode>
                <c:ptCount val="5"/>
                <c:pt idx="0">
                  <c:v>125</c:v>
                </c:pt>
                <c:pt idx="1">
                  <c:v>80</c:v>
                </c:pt>
                <c:pt idx="2">
                  <c:v>45</c:v>
                </c:pt>
                <c:pt idx="3">
                  <c:v>20</c:v>
                </c:pt>
                <c:pt idx="4">
                  <c:v>5</c:v>
                </c:pt>
              </c:numCache>
            </c:numRef>
          </c:val>
          <c:smooth val="0"/>
          <c:extLst>
            <c:ext xmlns:c16="http://schemas.microsoft.com/office/drawing/2014/chart" uri="{C3380CC4-5D6E-409C-BE32-E72D297353CC}">
              <c16:uniqueId val="{00000001-1B27-46E5-8FDD-018DC9B7F652}"/>
            </c:ext>
          </c:extLst>
        </c:ser>
        <c:ser>
          <c:idx val="2"/>
          <c:order val="2"/>
          <c:tx>
            <c:strRef>
              <c:f>'Take Profit Mini Índice'!$H$5</c:f>
              <c:strCache>
                <c:ptCount val="1"/>
                <c:pt idx="0">
                  <c:v>5 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'Take Profit Mini Índice'!$H$6:$H$11</c:f>
              <c:numCache>
                <c:formatCode>0</c:formatCode>
                <c:ptCount val="6"/>
                <c:pt idx="0">
                  <c:v>125</c:v>
                </c:pt>
                <c:pt idx="1">
                  <c:v>90</c:v>
                </c:pt>
                <c:pt idx="2">
                  <c:v>55</c:v>
                </c:pt>
                <c:pt idx="3">
                  <c:v>30</c:v>
                </c:pt>
                <c:pt idx="4">
                  <c:v>15</c:v>
                </c:pt>
                <c:pt idx="5">
                  <c:v>5</c:v>
                </c:pt>
              </c:numCache>
            </c:numRef>
          </c:val>
          <c:smooth val="0"/>
          <c:extLst>
            <c:ext xmlns:c16="http://schemas.microsoft.com/office/drawing/2014/chart" uri="{C3380CC4-5D6E-409C-BE32-E72D297353CC}">
              <c16:uniqueId val="{00000002-1B27-46E5-8FDD-018DC9B7F652}"/>
            </c:ext>
          </c:extLst>
        </c:ser>
        <c:ser>
          <c:idx val="3"/>
          <c:order val="3"/>
          <c:tx>
            <c:strRef>
              <c:f>'Take Profit Mini Índice'!$E$5</c:f>
              <c:strCache>
                <c:ptCount val="1"/>
                <c:pt idx="0">
                  <c:v>2 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'Take Profit Mini Índice'!$E$6:$E$8</c:f>
              <c:numCache>
                <c:formatCode>0</c:formatCode>
                <c:ptCount val="3"/>
                <c:pt idx="0">
                  <c:v>125</c:v>
                </c:pt>
                <c:pt idx="1">
                  <c:v>65</c:v>
                </c:pt>
                <c:pt idx="2">
                  <c:v>5</c:v>
                </c:pt>
              </c:numCache>
            </c:numRef>
          </c:val>
          <c:smooth val="0"/>
          <c:extLst>
            <c:ext xmlns:c16="http://schemas.microsoft.com/office/drawing/2014/chart" uri="{C3380CC4-5D6E-409C-BE32-E72D297353CC}">
              <c16:uniqueId val="{00000003-1B27-46E5-8FDD-018DC9B7F652}"/>
            </c:ext>
          </c:extLst>
        </c:ser>
        <c:ser>
          <c:idx val="4"/>
          <c:order val="4"/>
          <c:tx>
            <c:strRef>
              <c:f>'Take Profit Mini Índice'!$D$5</c:f>
              <c:strCache>
                <c:ptCount val="1"/>
                <c:pt idx="0">
                  <c:v>1 A.</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'Take Profit Mini Índice'!$D$6:$D$7</c:f>
              <c:numCache>
                <c:formatCode>0</c:formatCode>
                <c:ptCount val="2"/>
                <c:pt idx="0">
                  <c:v>125</c:v>
                </c:pt>
                <c:pt idx="1">
                  <c:v>5</c:v>
                </c:pt>
              </c:numCache>
            </c:numRef>
          </c:val>
          <c:smooth val="0"/>
          <c:extLst>
            <c:ext xmlns:c16="http://schemas.microsoft.com/office/drawing/2014/chart" uri="{C3380CC4-5D6E-409C-BE32-E72D297353CC}">
              <c16:uniqueId val="{00000004-1B27-46E5-8FDD-018DC9B7F652}"/>
            </c:ext>
          </c:extLst>
        </c:ser>
        <c:ser>
          <c:idx val="5"/>
          <c:order val="5"/>
          <c:tx>
            <c:strRef>
              <c:f>'Take Profit Mini Índice'!$I$5</c:f>
              <c:strCache>
                <c:ptCount val="1"/>
                <c:pt idx="0">
                  <c:v>6 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'Take Profit Mini Índice'!$I$6:$I$12</c:f>
              <c:numCache>
                <c:formatCode>0</c:formatCode>
                <c:ptCount val="7"/>
                <c:pt idx="0">
                  <c:v>125</c:v>
                </c:pt>
                <c:pt idx="1">
                  <c:v>90</c:v>
                </c:pt>
                <c:pt idx="2">
                  <c:v>65</c:v>
                </c:pt>
                <c:pt idx="3">
                  <c:v>40</c:v>
                </c:pt>
                <c:pt idx="4">
                  <c:v>25</c:v>
                </c:pt>
                <c:pt idx="5">
                  <c:v>15</c:v>
                </c:pt>
                <c:pt idx="6">
                  <c:v>5</c:v>
                </c:pt>
              </c:numCache>
            </c:numRef>
          </c:val>
          <c:smooth val="0"/>
          <c:extLst>
            <c:ext xmlns:c16="http://schemas.microsoft.com/office/drawing/2014/chart" uri="{C3380CC4-5D6E-409C-BE32-E72D297353CC}">
              <c16:uniqueId val="{00000005-1B27-46E5-8FDD-018DC9B7F652}"/>
            </c:ext>
          </c:extLst>
        </c:ser>
        <c:ser>
          <c:idx val="6"/>
          <c:order val="6"/>
          <c:tx>
            <c:strRef>
              <c:f>'Take Profit Mini Índice'!$J$5</c:f>
              <c:strCache>
                <c:ptCount val="1"/>
                <c:pt idx="0">
                  <c:v>7 A.</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'Take Profit Mini Índice'!$J$6:$J$13</c:f>
              <c:numCache>
                <c:formatCode>0</c:formatCode>
                <c:ptCount val="8"/>
                <c:pt idx="0">
                  <c:v>125</c:v>
                </c:pt>
                <c:pt idx="1">
                  <c:v>95</c:v>
                </c:pt>
                <c:pt idx="2">
                  <c:v>75</c:v>
                </c:pt>
                <c:pt idx="3">
                  <c:v>50</c:v>
                </c:pt>
                <c:pt idx="4">
                  <c:v>35</c:v>
                </c:pt>
                <c:pt idx="5">
                  <c:v>20</c:v>
                </c:pt>
                <c:pt idx="6">
                  <c:v>15</c:v>
                </c:pt>
                <c:pt idx="7">
                  <c:v>5</c:v>
                </c:pt>
              </c:numCache>
            </c:numRef>
          </c:val>
          <c:smooth val="0"/>
          <c:extLst>
            <c:ext xmlns:c16="http://schemas.microsoft.com/office/drawing/2014/chart" uri="{C3380CC4-5D6E-409C-BE32-E72D297353CC}">
              <c16:uniqueId val="{00000006-1B27-46E5-8FDD-018DC9B7F652}"/>
            </c:ext>
          </c:extLst>
        </c:ser>
        <c:ser>
          <c:idx val="7"/>
          <c:order val="7"/>
          <c:tx>
            <c:strRef>
              <c:f>'Take Profit Mini Índice'!$K$5</c:f>
              <c:strCache>
                <c:ptCount val="1"/>
                <c:pt idx="0">
                  <c:v>8 A.</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val>
            <c:numRef>
              <c:f>'Take Profit Mini Índice'!$K$6:$K$14</c:f>
              <c:numCache>
                <c:formatCode>0</c:formatCode>
                <c:ptCount val="9"/>
                <c:pt idx="0">
                  <c:v>125</c:v>
                </c:pt>
                <c:pt idx="1">
                  <c:v>100</c:v>
                </c:pt>
                <c:pt idx="2">
                  <c:v>75</c:v>
                </c:pt>
                <c:pt idx="3">
                  <c:v>55</c:v>
                </c:pt>
                <c:pt idx="4">
                  <c:v>40</c:v>
                </c:pt>
                <c:pt idx="5">
                  <c:v>25</c:v>
                </c:pt>
                <c:pt idx="6">
                  <c:v>15</c:v>
                </c:pt>
                <c:pt idx="7">
                  <c:v>5</c:v>
                </c:pt>
                <c:pt idx="8">
                  <c:v>5</c:v>
                </c:pt>
              </c:numCache>
            </c:numRef>
          </c:val>
          <c:smooth val="0"/>
          <c:extLst>
            <c:ext xmlns:c16="http://schemas.microsoft.com/office/drawing/2014/chart" uri="{C3380CC4-5D6E-409C-BE32-E72D297353CC}">
              <c16:uniqueId val="{00000007-1B27-46E5-8FDD-018DC9B7F652}"/>
            </c:ext>
          </c:extLst>
        </c:ser>
        <c:ser>
          <c:idx val="8"/>
          <c:order val="8"/>
          <c:tx>
            <c:strRef>
              <c:f>'Take Profit Mini Índice'!$L$5</c:f>
              <c:strCache>
                <c:ptCount val="1"/>
                <c:pt idx="0">
                  <c:v>9 A.</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val>
            <c:numRef>
              <c:f>'Take Profit Mini Índice'!$L$6:$L$15</c:f>
              <c:numCache>
                <c:formatCode>0</c:formatCode>
                <c:ptCount val="10"/>
                <c:pt idx="0">
                  <c:v>125</c:v>
                </c:pt>
                <c:pt idx="1">
                  <c:v>100</c:v>
                </c:pt>
                <c:pt idx="2">
                  <c:v>80</c:v>
                </c:pt>
                <c:pt idx="3">
                  <c:v>55</c:v>
                </c:pt>
                <c:pt idx="4">
                  <c:v>45</c:v>
                </c:pt>
                <c:pt idx="5">
                  <c:v>35</c:v>
                </c:pt>
                <c:pt idx="6">
                  <c:v>25</c:v>
                </c:pt>
                <c:pt idx="7">
                  <c:v>15</c:v>
                </c:pt>
                <c:pt idx="8">
                  <c:v>10</c:v>
                </c:pt>
                <c:pt idx="9">
                  <c:v>5</c:v>
                </c:pt>
              </c:numCache>
            </c:numRef>
          </c:val>
          <c:smooth val="0"/>
          <c:extLst>
            <c:ext xmlns:c16="http://schemas.microsoft.com/office/drawing/2014/chart" uri="{C3380CC4-5D6E-409C-BE32-E72D297353CC}">
              <c16:uniqueId val="{00000008-1B27-46E5-8FDD-018DC9B7F652}"/>
            </c:ext>
          </c:extLst>
        </c:ser>
        <c:ser>
          <c:idx val="9"/>
          <c:order val="9"/>
          <c:tx>
            <c:strRef>
              <c:f>'Take Profit Mini Índice'!$M$5</c:f>
              <c:strCache>
                <c:ptCount val="1"/>
                <c:pt idx="0">
                  <c:v>10 A.</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val>
            <c:numRef>
              <c:f>'Take Profit Mini Índice'!$M$6:$M$16</c:f>
              <c:numCache>
                <c:formatCode>0</c:formatCode>
                <c:ptCount val="11"/>
                <c:pt idx="0">
                  <c:v>125</c:v>
                </c:pt>
                <c:pt idx="1">
                  <c:v>105</c:v>
                </c:pt>
                <c:pt idx="2">
                  <c:v>85</c:v>
                </c:pt>
                <c:pt idx="3">
                  <c:v>65</c:v>
                </c:pt>
                <c:pt idx="4">
                  <c:v>50</c:v>
                </c:pt>
                <c:pt idx="5">
                  <c:v>40</c:v>
                </c:pt>
                <c:pt idx="6">
                  <c:v>30</c:v>
                </c:pt>
                <c:pt idx="7">
                  <c:v>20</c:v>
                </c:pt>
                <c:pt idx="8">
                  <c:v>15</c:v>
                </c:pt>
                <c:pt idx="9">
                  <c:v>10</c:v>
                </c:pt>
                <c:pt idx="10">
                  <c:v>5</c:v>
                </c:pt>
              </c:numCache>
            </c:numRef>
          </c:val>
          <c:smooth val="0"/>
          <c:extLst>
            <c:ext xmlns:c16="http://schemas.microsoft.com/office/drawing/2014/chart" uri="{C3380CC4-5D6E-409C-BE32-E72D297353CC}">
              <c16:uniqueId val="{00000009-1B27-46E5-8FDD-018DC9B7F652}"/>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1"/>
        <c:axPos val="b"/>
        <c:majorTickMark val="none"/>
        <c:minorTickMark val="none"/>
        <c:tickLblPos val="nextTo"/>
        <c:crossAx val="46161455"/>
        <c:crosses val="autoZero"/>
        <c:auto val="0"/>
        <c:lblAlgn val="ctr"/>
        <c:lblOffset val="100"/>
        <c:tickLblSkip val="1"/>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inorUnit val="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95477681903182"/>
          <c:y val="7.4051866630760951E-2"/>
          <c:w val="0.8121868632235667"/>
          <c:h val="0.81148719849636408"/>
        </c:manualLayout>
      </c:layout>
      <c:lineChart>
        <c:grouping val="standard"/>
        <c:varyColors val="0"/>
        <c:ser>
          <c:idx val="0"/>
          <c:order val="0"/>
          <c:tx>
            <c:strRef>
              <c:f>'Take Profit Mini Índice'!$F$5</c:f>
              <c:strCache>
                <c:ptCount val="1"/>
                <c:pt idx="0">
                  <c:v>3 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'Take Profit Mini Índice'!$F$19:$F$22</c:f>
              <c:numCache>
                <c:formatCode>0</c:formatCode>
                <c:ptCount val="4"/>
                <c:pt idx="0">
                  <c:v>100</c:v>
                </c:pt>
                <c:pt idx="1">
                  <c:v>60</c:v>
                </c:pt>
                <c:pt idx="2">
                  <c:v>25</c:v>
                </c:pt>
                <c:pt idx="3">
                  <c:v>5</c:v>
                </c:pt>
              </c:numCache>
            </c:numRef>
          </c:val>
          <c:smooth val="0"/>
          <c:extLst>
            <c:ext xmlns:c16="http://schemas.microsoft.com/office/drawing/2014/chart" uri="{C3380CC4-5D6E-409C-BE32-E72D297353CC}">
              <c16:uniqueId val="{00000000-D176-4EFA-9C9F-401709479D65}"/>
            </c:ext>
          </c:extLst>
        </c:ser>
        <c:ser>
          <c:idx val="1"/>
          <c:order val="1"/>
          <c:tx>
            <c:strRef>
              <c:f>'Take Profit Mini Índice'!$G$5</c:f>
              <c:strCache>
                <c:ptCount val="1"/>
                <c:pt idx="0">
                  <c:v>4 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'Take Profit Mini Índice'!$G$19:$G$23</c:f>
              <c:numCache>
                <c:formatCode>0</c:formatCode>
                <c:ptCount val="5"/>
                <c:pt idx="0">
                  <c:v>100</c:v>
                </c:pt>
                <c:pt idx="1">
                  <c:v>70</c:v>
                </c:pt>
                <c:pt idx="2">
                  <c:v>40</c:v>
                </c:pt>
                <c:pt idx="3">
                  <c:v>20</c:v>
                </c:pt>
                <c:pt idx="4">
                  <c:v>5</c:v>
                </c:pt>
              </c:numCache>
            </c:numRef>
          </c:val>
          <c:smooth val="0"/>
          <c:extLst>
            <c:ext xmlns:c16="http://schemas.microsoft.com/office/drawing/2014/chart" uri="{C3380CC4-5D6E-409C-BE32-E72D297353CC}">
              <c16:uniqueId val="{00000001-D176-4EFA-9C9F-401709479D65}"/>
            </c:ext>
          </c:extLst>
        </c:ser>
        <c:ser>
          <c:idx val="2"/>
          <c:order val="2"/>
          <c:tx>
            <c:strRef>
              <c:f>'Take Profit Mini Índice'!$H$5</c:f>
              <c:strCache>
                <c:ptCount val="1"/>
                <c:pt idx="0">
                  <c:v>5 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'Take Profit Mini Índice'!$H$19:$H$24</c:f>
              <c:numCache>
                <c:formatCode>0</c:formatCode>
                <c:ptCount val="6"/>
                <c:pt idx="0">
                  <c:v>100</c:v>
                </c:pt>
                <c:pt idx="1">
                  <c:v>75</c:v>
                </c:pt>
                <c:pt idx="2">
                  <c:v>45</c:v>
                </c:pt>
                <c:pt idx="3">
                  <c:v>30</c:v>
                </c:pt>
                <c:pt idx="4">
                  <c:v>15</c:v>
                </c:pt>
                <c:pt idx="5">
                  <c:v>5</c:v>
                </c:pt>
              </c:numCache>
            </c:numRef>
          </c:val>
          <c:smooth val="0"/>
          <c:extLst>
            <c:ext xmlns:c16="http://schemas.microsoft.com/office/drawing/2014/chart" uri="{C3380CC4-5D6E-409C-BE32-E72D297353CC}">
              <c16:uniqueId val="{00000002-D176-4EFA-9C9F-401709479D65}"/>
            </c:ext>
          </c:extLst>
        </c:ser>
        <c:ser>
          <c:idx val="3"/>
          <c:order val="3"/>
          <c:tx>
            <c:strRef>
              <c:f>'Take Profit Mini Índice'!$E$5</c:f>
              <c:strCache>
                <c:ptCount val="1"/>
                <c:pt idx="0">
                  <c:v>2 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'Take Profit Mini Índice'!$E$19:$E$21</c:f>
              <c:numCache>
                <c:formatCode>0</c:formatCode>
                <c:ptCount val="3"/>
                <c:pt idx="0">
                  <c:v>100</c:v>
                </c:pt>
                <c:pt idx="1">
                  <c:v>50</c:v>
                </c:pt>
                <c:pt idx="2">
                  <c:v>5</c:v>
                </c:pt>
              </c:numCache>
            </c:numRef>
          </c:val>
          <c:smooth val="0"/>
          <c:extLst>
            <c:ext xmlns:c16="http://schemas.microsoft.com/office/drawing/2014/chart" uri="{C3380CC4-5D6E-409C-BE32-E72D297353CC}">
              <c16:uniqueId val="{00000003-D176-4EFA-9C9F-401709479D65}"/>
            </c:ext>
          </c:extLst>
        </c:ser>
        <c:ser>
          <c:idx val="4"/>
          <c:order val="4"/>
          <c:tx>
            <c:strRef>
              <c:f>'Take Profit Mini Índice'!$D$5</c:f>
              <c:strCache>
                <c:ptCount val="1"/>
                <c:pt idx="0">
                  <c:v>1 A.</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'Take Profit Mini Índice'!$D$19:$D$20</c:f>
              <c:numCache>
                <c:formatCode>0</c:formatCode>
                <c:ptCount val="2"/>
                <c:pt idx="0">
                  <c:v>100</c:v>
                </c:pt>
                <c:pt idx="1">
                  <c:v>5</c:v>
                </c:pt>
              </c:numCache>
            </c:numRef>
          </c:val>
          <c:smooth val="0"/>
          <c:extLst>
            <c:ext xmlns:c16="http://schemas.microsoft.com/office/drawing/2014/chart" uri="{C3380CC4-5D6E-409C-BE32-E72D297353CC}">
              <c16:uniqueId val="{00000004-D176-4EFA-9C9F-401709479D65}"/>
            </c:ext>
          </c:extLst>
        </c:ser>
        <c:ser>
          <c:idx val="5"/>
          <c:order val="5"/>
          <c:tx>
            <c:strRef>
              <c:f>'Take Profit Mini Índice'!$I$5</c:f>
              <c:strCache>
                <c:ptCount val="1"/>
                <c:pt idx="0">
                  <c:v>6 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'Take Profit Mini Índice'!$I$19:$I$25</c:f>
              <c:numCache>
                <c:formatCode>0</c:formatCode>
                <c:ptCount val="7"/>
                <c:pt idx="0">
                  <c:v>100</c:v>
                </c:pt>
                <c:pt idx="1">
                  <c:v>80</c:v>
                </c:pt>
                <c:pt idx="2">
                  <c:v>55</c:v>
                </c:pt>
                <c:pt idx="3">
                  <c:v>40</c:v>
                </c:pt>
                <c:pt idx="4">
                  <c:v>25</c:v>
                </c:pt>
                <c:pt idx="5">
                  <c:v>15</c:v>
                </c:pt>
                <c:pt idx="6">
                  <c:v>5</c:v>
                </c:pt>
              </c:numCache>
            </c:numRef>
          </c:val>
          <c:smooth val="0"/>
          <c:extLst>
            <c:ext xmlns:c16="http://schemas.microsoft.com/office/drawing/2014/chart" uri="{C3380CC4-5D6E-409C-BE32-E72D297353CC}">
              <c16:uniqueId val="{00000005-D176-4EFA-9C9F-401709479D65}"/>
            </c:ext>
          </c:extLst>
        </c:ser>
        <c:ser>
          <c:idx val="6"/>
          <c:order val="6"/>
          <c:tx>
            <c:strRef>
              <c:f>'Take Profit Mini Índice'!$J$5</c:f>
              <c:strCache>
                <c:ptCount val="1"/>
                <c:pt idx="0">
                  <c:v>7 A.</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'Take Profit Mini Índice'!$J$19:$J$26</c:f>
              <c:numCache>
                <c:formatCode>0</c:formatCode>
                <c:ptCount val="8"/>
                <c:pt idx="0">
                  <c:v>100</c:v>
                </c:pt>
                <c:pt idx="1">
                  <c:v>80</c:v>
                </c:pt>
                <c:pt idx="2">
                  <c:v>65</c:v>
                </c:pt>
                <c:pt idx="3">
                  <c:v>45</c:v>
                </c:pt>
                <c:pt idx="4">
                  <c:v>35</c:v>
                </c:pt>
                <c:pt idx="5">
                  <c:v>20</c:v>
                </c:pt>
                <c:pt idx="6">
                  <c:v>10</c:v>
                </c:pt>
                <c:pt idx="7">
                  <c:v>5</c:v>
                </c:pt>
              </c:numCache>
            </c:numRef>
          </c:val>
          <c:smooth val="0"/>
          <c:extLst>
            <c:ext xmlns:c16="http://schemas.microsoft.com/office/drawing/2014/chart" uri="{C3380CC4-5D6E-409C-BE32-E72D297353CC}">
              <c16:uniqueId val="{00000006-D176-4EFA-9C9F-401709479D65}"/>
            </c:ext>
          </c:extLst>
        </c:ser>
        <c:ser>
          <c:idx val="7"/>
          <c:order val="7"/>
          <c:tx>
            <c:strRef>
              <c:f>'Take Profit Mini Índice'!$K$5</c:f>
              <c:strCache>
                <c:ptCount val="1"/>
                <c:pt idx="0">
                  <c:v>8 A.</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val>
            <c:numRef>
              <c:f>'Take Profit Mini Índice'!$K$19:$K$27</c:f>
              <c:numCache>
                <c:formatCode>0</c:formatCode>
                <c:ptCount val="9"/>
                <c:pt idx="0">
                  <c:v>100</c:v>
                </c:pt>
                <c:pt idx="1">
                  <c:v>80</c:v>
                </c:pt>
                <c:pt idx="2">
                  <c:v>70</c:v>
                </c:pt>
                <c:pt idx="3">
                  <c:v>50</c:v>
                </c:pt>
                <c:pt idx="4">
                  <c:v>40</c:v>
                </c:pt>
                <c:pt idx="5">
                  <c:v>25</c:v>
                </c:pt>
                <c:pt idx="6">
                  <c:v>15</c:v>
                </c:pt>
                <c:pt idx="7">
                  <c:v>10</c:v>
                </c:pt>
                <c:pt idx="8">
                  <c:v>5</c:v>
                </c:pt>
              </c:numCache>
            </c:numRef>
          </c:val>
          <c:smooth val="0"/>
          <c:extLst>
            <c:ext xmlns:c16="http://schemas.microsoft.com/office/drawing/2014/chart" uri="{C3380CC4-5D6E-409C-BE32-E72D297353CC}">
              <c16:uniqueId val="{00000007-D176-4EFA-9C9F-401709479D65}"/>
            </c:ext>
          </c:extLst>
        </c:ser>
        <c:ser>
          <c:idx val="8"/>
          <c:order val="8"/>
          <c:tx>
            <c:strRef>
              <c:f>'Take Profit Mini Índice'!$L$5</c:f>
              <c:strCache>
                <c:ptCount val="1"/>
                <c:pt idx="0">
                  <c:v>9 A.</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val>
            <c:numRef>
              <c:f>'Take Profit Mini Índice'!$L$19:$L$28</c:f>
              <c:numCache>
                <c:formatCode>0</c:formatCode>
                <c:ptCount val="10"/>
                <c:pt idx="0">
                  <c:v>100</c:v>
                </c:pt>
                <c:pt idx="1">
                  <c:v>80</c:v>
                </c:pt>
                <c:pt idx="2">
                  <c:v>70</c:v>
                </c:pt>
                <c:pt idx="3">
                  <c:v>55</c:v>
                </c:pt>
                <c:pt idx="4">
                  <c:v>40</c:v>
                </c:pt>
                <c:pt idx="5">
                  <c:v>35</c:v>
                </c:pt>
                <c:pt idx="6">
                  <c:v>25</c:v>
                </c:pt>
                <c:pt idx="7">
                  <c:v>15</c:v>
                </c:pt>
                <c:pt idx="8">
                  <c:v>10</c:v>
                </c:pt>
                <c:pt idx="9">
                  <c:v>5</c:v>
                </c:pt>
              </c:numCache>
            </c:numRef>
          </c:val>
          <c:smooth val="0"/>
          <c:extLst>
            <c:ext xmlns:c16="http://schemas.microsoft.com/office/drawing/2014/chart" uri="{C3380CC4-5D6E-409C-BE32-E72D297353CC}">
              <c16:uniqueId val="{00000008-D176-4EFA-9C9F-401709479D65}"/>
            </c:ext>
          </c:extLst>
        </c:ser>
        <c:ser>
          <c:idx val="9"/>
          <c:order val="9"/>
          <c:tx>
            <c:strRef>
              <c:f>'Take Profit Mini Índice'!$M$5</c:f>
              <c:strCache>
                <c:ptCount val="1"/>
                <c:pt idx="0">
                  <c:v>10 A.</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val>
            <c:numRef>
              <c:f>'Take Profit Mini Índice'!$M$19:$M$29</c:f>
              <c:numCache>
                <c:formatCode>0</c:formatCode>
                <c:ptCount val="11"/>
                <c:pt idx="0">
                  <c:v>100</c:v>
                </c:pt>
                <c:pt idx="1">
                  <c:v>80</c:v>
                </c:pt>
                <c:pt idx="2">
                  <c:v>70</c:v>
                </c:pt>
                <c:pt idx="3">
                  <c:v>60</c:v>
                </c:pt>
                <c:pt idx="4">
                  <c:v>50</c:v>
                </c:pt>
                <c:pt idx="5">
                  <c:v>40</c:v>
                </c:pt>
                <c:pt idx="6">
                  <c:v>30</c:v>
                </c:pt>
                <c:pt idx="7">
                  <c:v>25</c:v>
                </c:pt>
                <c:pt idx="8">
                  <c:v>20</c:v>
                </c:pt>
                <c:pt idx="9">
                  <c:v>10</c:v>
                </c:pt>
                <c:pt idx="10">
                  <c:v>5</c:v>
                </c:pt>
              </c:numCache>
            </c:numRef>
          </c:val>
          <c:smooth val="0"/>
          <c:extLst>
            <c:ext xmlns:c16="http://schemas.microsoft.com/office/drawing/2014/chart" uri="{C3380CC4-5D6E-409C-BE32-E72D297353CC}">
              <c16:uniqueId val="{00000009-D176-4EFA-9C9F-401709479D65}"/>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1"/>
        <c:axPos val="b"/>
        <c:majorTickMark val="none"/>
        <c:minorTickMark val="none"/>
        <c:tickLblPos val="nextTo"/>
        <c:crossAx val="46161455"/>
        <c:crosses val="autoZero"/>
        <c:auto val="0"/>
        <c:lblAlgn val="ctr"/>
        <c:lblOffset val="100"/>
        <c:tickLblSkip val="1"/>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inorUnit val="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95477681903182"/>
          <c:y val="7.4051866630760951E-2"/>
          <c:w val="0.8121868632235667"/>
          <c:h val="0.81148719849636408"/>
        </c:manualLayout>
      </c:layout>
      <c:lineChart>
        <c:grouping val="standard"/>
        <c:varyColors val="0"/>
        <c:ser>
          <c:idx val="0"/>
          <c:order val="0"/>
          <c:tx>
            <c:strRef>
              <c:f>'Take Profit Mini Índice'!$F$5</c:f>
              <c:strCache>
                <c:ptCount val="1"/>
                <c:pt idx="0">
                  <c:v>3 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'Take Profit Mini Índice'!$F$32:$F$35</c:f>
              <c:numCache>
                <c:formatCode>0</c:formatCode>
                <c:ptCount val="4"/>
                <c:pt idx="0">
                  <c:v>75</c:v>
                </c:pt>
                <c:pt idx="1">
                  <c:v>45</c:v>
                </c:pt>
                <c:pt idx="2">
                  <c:v>20</c:v>
                </c:pt>
                <c:pt idx="3">
                  <c:v>5</c:v>
                </c:pt>
              </c:numCache>
            </c:numRef>
          </c:val>
          <c:smooth val="0"/>
          <c:extLst>
            <c:ext xmlns:c16="http://schemas.microsoft.com/office/drawing/2014/chart" uri="{C3380CC4-5D6E-409C-BE32-E72D297353CC}">
              <c16:uniqueId val="{00000000-8CCD-4F7D-A2FA-F5C4005A4D51}"/>
            </c:ext>
          </c:extLst>
        </c:ser>
        <c:ser>
          <c:idx val="1"/>
          <c:order val="1"/>
          <c:tx>
            <c:strRef>
              <c:f>'Take Profit Mini Índice'!$G$5</c:f>
              <c:strCache>
                <c:ptCount val="1"/>
                <c:pt idx="0">
                  <c:v>4 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'Take Profit Mini Índice'!$G$32:$G$36</c:f>
              <c:numCache>
                <c:formatCode>0</c:formatCode>
                <c:ptCount val="5"/>
                <c:pt idx="0">
                  <c:v>75</c:v>
                </c:pt>
                <c:pt idx="1">
                  <c:v>50</c:v>
                </c:pt>
                <c:pt idx="2">
                  <c:v>30</c:v>
                </c:pt>
                <c:pt idx="3">
                  <c:v>15</c:v>
                </c:pt>
                <c:pt idx="4">
                  <c:v>5</c:v>
                </c:pt>
              </c:numCache>
            </c:numRef>
          </c:val>
          <c:smooth val="0"/>
          <c:extLst>
            <c:ext xmlns:c16="http://schemas.microsoft.com/office/drawing/2014/chart" uri="{C3380CC4-5D6E-409C-BE32-E72D297353CC}">
              <c16:uniqueId val="{00000001-8CCD-4F7D-A2FA-F5C4005A4D51}"/>
            </c:ext>
          </c:extLst>
        </c:ser>
        <c:ser>
          <c:idx val="2"/>
          <c:order val="2"/>
          <c:tx>
            <c:strRef>
              <c:f>'Take Profit Mini Índice'!$H$5</c:f>
              <c:strCache>
                <c:ptCount val="1"/>
                <c:pt idx="0">
                  <c:v>5 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'Take Profit Mini Índice'!$H$32:$H$37</c:f>
              <c:numCache>
                <c:formatCode>0</c:formatCode>
                <c:ptCount val="6"/>
                <c:pt idx="0">
                  <c:v>75</c:v>
                </c:pt>
                <c:pt idx="1">
                  <c:v>55</c:v>
                </c:pt>
                <c:pt idx="2">
                  <c:v>40</c:v>
                </c:pt>
                <c:pt idx="3">
                  <c:v>25</c:v>
                </c:pt>
                <c:pt idx="4">
                  <c:v>15</c:v>
                </c:pt>
                <c:pt idx="5">
                  <c:v>5</c:v>
                </c:pt>
              </c:numCache>
            </c:numRef>
          </c:val>
          <c:smooth val="0"/>
          <c:extLst>
            <c:ext xmlns:c16="http://schemas.microsoft.com/office/drawing/2014/chart" uri="{C3380CC4-5D6E-409C-BE32-E72D297353CC}">
              <c16:uniqueId val="{00000002-8CCD-4F7D-A2FA-F5C4005A4D51}"/>
            </c:ext>
          </c:extLst>
        </c:ser>
        <c:ser>
          <c:idx val="3"/>
          <c:order val="3"/>
          <c:tx>
            <c:strRef>
              <c:f>'Take Profit Mini Índice'!$E$5</c:f>
              <c:strCache>
                <c:ptCount val="1"/>
                <c:pt idx="0">
                  <c:v>2 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'Take Profit Mini Índice'!$E$32:$E$34</c:f>
              <c:numCache>
                <c:formatCode>0</c:formatCode>
                <c:ptCount val="3"/>
                <c:pt idx="0">
                  <c:v>75</c:v>
                </c:pt>
                <c:pt idx="1">
                  <c:v>40</c:v>
                </c:pt>
                <c:pt idx="2">
                  <c:v>5</c:v>
                </c:pt>
              </c:numCache>
            </c:numRef>
          </c:val>
          <c:smooth val="0"/>
          <c:extLst>
            <c:ext xmlns:c16="http://schemas.microsoft.com/office/drawing/2014/chart" uri="{C3380CC4-5D6E-409C-BE32-E72D297353CC}">
              <c16:uniqueId val="{00000003-8CCD-4F7D-A2FA-F5C4005A4D51}"/>
            </c:ext>
          </c:extLst>
        </c:ser>
        <c:ser>
          <c:idx val="4"/>
          <c:order val="4"/>
          <c:tx>
            <c:strRef>
              <c:f>'Take Profit Mini Índice'!$D$5</c:f>
              <c:strCache>
                <c:ptCount val="1"/>
                <c:pt idx="0">
                  <c:v>1 A.</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'Take Profit Mini Índice'!$D$32:$D$33</c:f>
              <c:numCache>
                <c:formatCode>0</c:formatCode>
                <c:ptCount val="2"/>
                <c:pt idx="0">
                  <c:v>75</c:v>
                </c:pt>
                <c:pt idx="1">
                  <c:v>5</c:v>
                </c:pt>
              </c:numCache>
            </c:numRef>
          </c:val>
          <c:smooth val="0"/>
          <c:extLst>
            <c:ext xmlns:c16="http://schemas.microsoft.com/office/drawing/2014/chart" uri="{C3380CC4-5D6E-409C-BE32-E72D297353CC}">
              <c16:uniqueId val="{00000004-8CCD-4F7D-A2FA-F5C4005A4D51}"/>
            </c:ext>
          </c:extLst>
        </c:ser>
        <c:ser>
          <c:idx val="5"/>
          <c:order val="5"/>
          <c:tx>
            <c:strRef>
              <c:f>'Take Profit Mini Índice'!$I$5</c:f>
              <c:strCache>
                <c:ptCount val="1"/>
                <c:pt idx="0">
                  <c:v>6 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'Take Profit Mini Índice'!$I$32:$I$38</c:f>
              <c:numCache>
                <c:formatCode>0</c:formatCode>
                <c:ptCount val="7"/>
                <c:pt idx="0">
                  <c:v>75</c:v>
                </c:pt>
                <c:pt idx="1">
                  <c:v>55</c:v>
                </c:pt>
                <c:pt idx="2">
                  <c:v>40</c:v>
                </c:pt>
                <c:pt idx="3">
                  <c:v>30</c:v>
                </c:pt>
                <c:pt idx="4">
                  <c:v>15</c:v>
                </c:pt>
                <c:pt idx="5">
                  <c:v>10</c:v>
                </c:pt>
                <c:pt idx="6">
                  <c:v>5</c:v>
                </c:pt>
              </c:numCache>
            </c:numRef>
          </c:val>
          <c:smooth val="0"/>
          <c:extLst>
            <c:ext xmlns:c16="http://schemas.microsoft.com/office/drawing/2014/chart" uri="{C3380CC4-5D6E-409C-BE32-E72D297353CC}">
              <c16:uniqueId val="{00000005-8CCD-4F7D-A2FA-F5C4005A4D51}"/>
            </c:ext>
          </c:extLst>
        </c:ser>
        <c:ser>
          <c:idx val="6"/>
          <c:order val="6"/>
          <c:tx>
            <c:strRef>
              <c:f>'Take Profit Mini Índice'!$J$5</c:f>
              <c:strCache>
                <c:ptCount val="1"/>
                <c:pt idx="0">
                  <c:v>7 A.</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'Take Profit Mini Índice'!$J$32:$J$39</c:f>
              <c:numCache>
                <c:formatCode>0</c:formatCode>
                <c:ptCount val="8"/>
                <c:pt idx="0">
                  <c:v>75</c:v>
                </c:pt>
                <c:pt idx="1">
                  <c:v>55</c:v>
                </c:pt>
                <c:pt idx="2">
                  <c:v>50</c:v>
                </c:pt>
                <c:pt idx="3">
                  <c:v>35</c:v>
                </c:pt>
                <c:pt idx="4">
                  <c:v>20</c:v>
                </c:pt>
                <c:pt idx="5">
                  <c:v>15</c:v>
                </c:pt>
                <c:pt idx="6">
                  <c:v>10</c:v>
                </c:pt>
                <c:pt idx="7">
                  <c:v>5</c:v>
                </c:pt>
              </c:numCache>
            </c:numRef>
          </c:val>
          <c:smooth val="0"/>
          <c:extLst>
            <c:ext xmlns:c16="http://schemas.microsoft.com/office/drawing/2014/chart" uri="{C3380CC4-5D6E-409C-BE32-E72D297353CC}">
              <c16:uniqueId val="{00000006-8CCD-4F7D-A2FA-F5C4005A4D51}"/>
            </c:ext>
          </c:extLst>
        </c:ser>
        <c:ser>
          <c:idx val="7"/>
          <c:order val="7"/>
          <c:tx>
            <c:strRef>
              <c:f>'Take Profit Mini Índice'!$K$5</c:f>
              <c:strCache>
                <c:ptCount val="1"/>
                <c:pt idx="0">
                  <c:v>8 A.</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val>
            <c:numRef>
              <c:f>'Take Profit Mini Índice'!$K$32:$K$40</c:f>
              <c:numCache>
                <c:formatCode>0</c:formatCode>
                <c:ptCount val="9"/>
                <c:pt idx="0">
                  <c:v>75</c:v>
                </c:pt>
                <c:pt idx="1">
                  <c:v>65</c:v>
                </c:pt>
                <c:pt idx="2">
                  <c:v>50</c:v>
                </c:pt>
                <c:pt idx="3">
                  <c:v>40</c:v>
                </c:pt>
                <c:pt idx="4">
                  <c:v>25</c:v>
                </c:pt>
                <c:pt idx="5">
                  <c:v>15</c:v>
                </c:pt>
                <c:pt idx="6">
                  <c:v>15</c:v>
                </c:pt>
                <c:pt idx="7">
                  <c:v>10</c:v>
                </c:pt>
                <c:pt idx="8">
                  <c:v>5</c:v>
                </c:pt>
              </c:numCache>
            </c:numRef>
          </c:val>
          <c:smooth val="0"/>
          <c:extLst>
            <c:ext xmlns:c16="http://schemas.microsoft.com/office/drawing/2014/chart" uri="{C3380CC4-5D6E-409C-BE32-E72D297353CC}">
              <c16:uniqueId val="{00000007-8CCD-4F7D-A2FA-F5C4005A4D51}"/>
            </c:ext>
          </c:extLst>
        </c:ser>
        <c:ser>
          <c:idx val="8"/>
          <c:order val="8"/>
          <c:tx>
            <c:strRef>
              <c:f>'Take Profit Mini Índice'!$L$5</c:f>
              <c:strCache>
                <c:ptCount val="1"/>
                <c:pt idx="0">
                  <c:v>9 A.</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val>
            <c:numRef>
              <c:f>'Take Profit Mini Índice'!$L$32:$L$41</c:f>
              <c:numCache>
                <c:formatCode>0</c:formatCode>
                <c:ptCount val="10"/>
                <c:pt idx="0">
                  <c:v>75</c:v>
                </c:pt>
                <c:pt idx="1">
                  <c:v>65</c:v>
                </c:pt>
                <c:pt idx="2">
                  <c:v>50</c:v>
                </c:pt>
                <c:pt idx="3">
                  <c:v>40</c:v>
                </c:pt>
                <c:pt idx="4">
                  <c:v>30</c:v>
                </c:pt>
                <c:pt idx="5">
                  <c:v>25</c:v>
                </c:pt>
                <c:pt idx="6">
                  <c:v>15</c:v>
                </c:pt>
                <c:pt idx="7">
                  <c:v>15</c:v>
                </c:pt>
                <c:pt idx="8">
                  <c:v>10</c:v>
                </c:pt>
                <c:pt idx="9">
                  <c:v>5</c:v>
                </c:pt>
              </c:numCache>
            </c:numRef>
          </c:val>
          <c:smooth val="0"/>
          <c:extLst>
            <c:ext xmlns:c16="http://schemas.microsoft.com/office/drawing/2014/chart" uri="{C3380CC4-5D6E-409C-BE32-E72D297353CC}">
              <c16:uniqueId val="{00000008-8CCD-4F7D-A2FA-F5C4005A4D51}"/>
            </c:ext>
          </c:extLst>
        </c:ser>
        <c:ser>
          <c:idx val="9"/>
          <c:order val="9"/>
          <c:tx>
            <c:strRef>
              <c:f>'Take Profit Mini Índice'!$M$5</c:f>
              <c:strCache>
                <c:ptCount val="1"/>
                <c:pt idx="0">
                  <c:v>10 A.</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val>
            <c:numRef>
              <c:f>'Take Profit Mini Índice'!$M$32:$M$42</c:f>
              <c:numCache>
                <c:formatCode>0</c:formatCode>
                <c:ptCount val="11"/>
                <c:pt idx="0">
                  <c:v>75</c:v>
                </c:pt>
                <c:pt idx="1">
                  <c:v>65</c:v>
                </c:pt>
                <c:pt idx="2">
                  <c:v>55</c:v>
                </c:pt>
                <c:pt idx="3">
                  <c:v>40</c:v>
                </c:pt>
                <c:pt idx="4">
                  <c:v>30</c:v>
                </c:pt>
                <c:pt idx="5">
                  <c:v>25</c:v>
                </c:pt>
                <c:pt idx="6">
                  <c:v>20</c:v>
                </c:pt>
                <c:pt idx="7">
                  <c:v>15</c:v>
                </c:pt>
                <c:pt idx="8">
                  <c:v>15</c:v>
                </c:pt>
                <c:pt idx="9">
                  <c:v>10</c:v>
                </c:pt>
                <c:pt idx="10">
                  <c:v>5</c:v>
                </c:pt>
              </c:numCache>
            </c:numRef>
          </c:val>
          <c:smooth val="0"/>
          <c:extLst>
            <c:ext xmlns:c16="http://schemas.microsoft.com/office/drawing/2014/chart" uri="{C3380CC4-5D6E-409C-BE32-E72D297353CC}">
              <c16:uniqueId val="{00000009-8CCD-4F7D-A2FA-F5C4005A4D51}"/>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1"/>
        <c:axPos val="b"/>
        <c:majorTickMark val="none"/>
        <c:minorTickMark val="none"/>
        <c:tickLblPos val="nextTo"/>
        <c:crossAx val="46161455"/>
        <c:crosses val="autoZero"/>
        <c:auto val="0"/>
        <c:lblAlgn val="ctr"/>
        <c:lblOffset val="100"/>
        <c:tickLblSkip val="1"/>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inorUnit val="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95477681903182"/>
          <c:y val="7.4051866630760951E-2"/>
          <c:w val="0.8121868632235667"/>
          <c:h val="0.81148719849636408"/>
        </c:manualLayout>
      </c:layout>
      <c:lineChart>
        <c:grouping val="standard"/>
        <c:varyColors val="0"/>
        <c:ser>
          <c:idx val="0"/>
          <c:order val="0"/>
          <c:tx>
            <c:strRef>
              <c:f>'Take Profit Mini Índice'!$F$5</c:f>
              <c:strCache>
                <c:ptCount val="1"/>
                <c:pt idx="0">
                  <c:v>3 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'Take Profit Mini Índice'!$F$45:$F$48</c:f>
              <c:numCache>
                <c:formatCode>0</c:formatCode>
                <c:ptCount val="4"/>
                <c:pt idx="0">
                  <c:v>50</c:v>
                </c:pt>
                <c:pt idx="1">
                  <c:v>25</c:v>
                </c:pt>
                <c:pt idx="2">
                  <c:v>15</c:v>
                </c:pt>
                <c:pt idx="3">
                  <c:v>5</c:v>
                </c:pt>
              </c:numCache>
            </c:numRef>
          </c:val>
          <c:smooth val="0"/>
          <c:extLst>
            <c:ext xmlns:c16="http://schemas.microsoft.com/office/drawing/2014/chart" uri="{C3380CC4-5D6E-409C-BE32-E72D297353CC}">
              <c16:uniqueId val="{00000000-1710-445D-87D2-3730EFD290B7}"/>
            </c:ext>
          </c:extLst>
        </c:ser>
        <c:ser>
          <c:idx val="1"/>
          <c:order val="1"/>
          <c:tx>
            <c:strRef>
              <c:f>'Take Profit Mini Índice'!$G$5</c:f>
              <c:strCache>
                <c:ptCount val="1"/>
                <c:pt idx="0">
                  <c:v>4 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'Take Profit Mini Índice'!$G$45:$G$49</c:f>
              <c:numCache>
                <c:formatCode>0</c:formatCode>
                <c:ptCount val="5"/>
                <c:pt idx="0">
                  <c:v>50</c:v>
                </c:pt>
                <c:pt idx="1">
                  <c:v>35</c:v>
                </c:pt>
                <c:pt idx="2">
                  <c:v>20</c:v>
                </c:pt>
                <c:pt idx="3">
                  <c:v>10</c:v>
                </c:pt>
                <c:pt idx="4">
                  <c:v>5</c:v>
                </c:pt>
              </c:numCache>
            </c:numRef>
          </c:val>
          <c:smooth val="0"/>
          <c:extLst>
            <c:ext xmlns:c16="http://schemas.microsoft.com/office/drawing/2014/chart" uri="{C3380CC4-5D6E-409C-BE32-E72D297353CC}">
              <c16:uniqueId val="{00000001-1710-445D-87D2-3730EFD290B7}"/>
            </c:ext>
          </c:extLst>
        </c:ser>
        <c:ser>
          <c:idx val="2"/>
          <c:order val="2"/>
          <c:tx>
            <c:strRef>
              <c:f>'Take Profit Mini Índice'!$H$5</c:f>
              <c:strCache>
                <c:ptCount val="1"/>
                <c:pt idx="0">
                  <c:v>5 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'Take Profit Mini Índice'!$H$45:$H$50</c:f>
              <c:numCache>
                <c:formatCode>0</c:formatCode>
                <c:ptCount val="6"/>
                <c:pt idx="0">
                  <c:v>50</c:v>
                </c:pt>
                <c:pt idx="1">
                  <c:v>40</c:v>
                </c:pt>
                <c:pt idx="2">
                  <c:v>25</c:v>
                </c:pt>
                <c:pt idx="3">
                  <c:v>15</c:v>
                </c:pt>
                <c:pt idx="4">
                  <c:v>5</c:v>
                </c:pt>
                <c:pt idx="5">
                  <c:v>5</c:v>
                </c:pt>
              </c:numCache>
            </c:numRef>
          </c:val>
          <c:smooth val="0"/>
          <c:extLst>
            <c:ext xmlns:c16="http://schemas.microsoft.com/office/drawing/2014/chart" uri="{C3380CC4-5D6E-409C-BE32-E72D297353CC}">
              <c16:uniqueId val="{00000002-1710-445D-87D2-3730EFD290B7}"/>
            </c:ext>
          </c:extLst>
        </c:ser>
        <c:ser>
          <c:idx val="3"/>
          <c:order val="3"/>
          <c:tx>
            <c:strRef>
              <c:f>'Take Profit Mini Índice'!$E$5</c:f>
              <c:strCache>
                <c:ptCount val="1"/>
                <c:pt idx="0">
                  <c:v>2 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'Take Profit Mini Índice'!$E$45:$E$47</c:f>
              <c:numCache>
                <c:formatCode>0</c:formatCode>
                <c:ptCount val="3"/>
                <c:pt idx="0">
                  <c:v>50</c:v>
                </c:pt>
                <c:pt idx="1">
                  <c:v>25</c:v>
                </c:pt>
                <c:pt idx="2">
                  <c:v>5</c:v>
                </c:pt>
              </c:numCache>
            </c:numRef>
          </c:val>
          <c:smooth val="0"/>
          <c:extLst>
            <c:ext xmlns:c16="http://schemas.microsoft.com/office/drawing/2014/chart" uri="{C3380CC4-5D6E-409C-BE32-E72D297353CC}">
              <c16:uniqueId val="{00000003-1710-445D-87D2-3730EFD290B7}"/>
            </c:ext>
          </c:extLst>
        </c:ser>
        <c:ser>
          <c:idx val="4"/>
          <c:order val="4"/>
          <c:tx>
            <c:strRef>
              <c:f>'Take Profit Mini Índice'!$D$5</c:f>
              <c:strCache>
                <c:ptCount val="1"/>
                <c:pt idx="0">
                  <c:v>1 A.</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'Take Profit Mini Índice'!$D$45:$D$46</c:f>
              <c:numCache>
                <c:formatCode>0</c:formatCode>
                <c:ptCount val="2"/>
                <c:pt idx="0">
                  <c:v>50</c:v>
                </c:pt>
                <c:pt idx="1">
                  <c:v>5</c:v>
                </c:pt>
              </c:numCache>
            </c:numRef>
          </c:val>
          <c:smooth val="0"/>
          <c:extLst>
            <c:ext xmlns:c16="http://schemas.microsoft.com/office/drawing/2014/chart" uri="{C3380CC4-5D6E-409C-BE32-E72D297353CC}">
              <c16:uniqueId val="{00000004-1710-445D-87D2-3730EFD290B7}"/>
            </c:ext>
          </c:extLst>
        </c:ser>
        <c:ser>
          <c:idx val="5"/>
          <c:order val="5"/>
          <c:tx>
            <c:strRef>
              <c:f>'Take Profit Mini Índice'!$I$5</c:f>
              <c:strCache>
                <c:ptCount val="1"/>
                <c:pt idx="0">
                  <c:v>6 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'Take Profit Mini Índice'!$I$45:$I$51</c:f>
              <c:numCache>
                <c:formatCode>0</c:formatCode>
                <c:ptCount val="7"/>
                <c:pt idx="0">
                  <c:v>50</c:v>
                </c:pt>
                <c:pt idx="1">
                  <c:v>40</c:v>
                </c:pt>
                <c:pt idx="2">
                  <c:v>25</c:v>
                </c:pt>
                <c:pt idx="3">
                  <c:v>15</c:v>
                </c:pt>
                <c:pt idx="4">
                  <c:v>10</c:v>
                </c:pt>
                <c:pt idx="5">
                  <c:v>5</c:v>
                </c:pt>
                <c:pt idx="6">
                  <c:v>5</c:v>
                </c:pt>
              </c:numCache>
            </c:numRef>
          </c:val>
          <c:smooth val="0"/>
          <c:extLst>
            <c:ext xmlns:c16="http://schemas.microsoft.com/office/drawing/2014/chart" uri="{C3380CC4-5D6E-409C-BE32-E72D297353CC}">
              <c16:uniqueId val="{00000005-1710-445D-87D2-3730EFD290B7}"/>
            </c:ext>
          </c:extLst>
        </c:ser>
        <c:ser>
          <c:idx val="6"/>
          <c:order val="6"/>
          <c:tx>
            <c:strRef>
              <c:f>'Take Profit Mini Índice'!$J$5</c:f>
              <c:strCache>
                <c:ptCount val="1"/>
                <c:pt idx="0">
                  <c:v>7 A.</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'Take Profit Mini Índice'!$J$45:$J$52</c:f>
              <c:numCache>
                <c:formatCode>0</c:formatCode>
                <c:ptCount val="8"/>
                <c:pt idx="0">
                  <c:v>50</c:v>
                </c:pt>
                <c:pt idx="1">
                  <c:v>40</c:v>
                </c:pt>
                <c:pt idx="2">
                  <c:v>30</c:v>
                </c:pt>
                <c:pt idx="3">
                  <c:v>25</c:v>
                </c:pt>
                <c:pt idx="4">
                  <c:v>15</c:v>
                </c:pt>
                <c:pt idx="5">
                  <c:v>10</c:v>
                </c:pt>
                <c:pt idx="6">
                  <c:v>5</c:v>
                </c:pt>
                <c:pt idx="7">
                  <c:v>5</c:v>
                </c:pt>
              </c:numCache>
            </c:numRef>
          </c:val>
          <c:smooth val="0"/>
          <c:extLst>
            <c:ext xmlns:c16="http://schemas.microsoft.com/office/drawing/2014/chart" uri="{C3380CC4-5D6E-409C-BE32-E72D297353CC}">
              <c16:uniqueId val="{00000006-1710-445D-87D2-3730EFD290B7}"/>
            </c:ext>
          </c:extLst>
        </c:ser>
        <c:ser>
          <c:idx val="7"/>
          <c:order val="7"/>
          <c:tx>
            <c:strRef>
              <c:f>'Take Profit Mini Índice'!$K$5</c:f>
              <c:strCache>
                <c:ptCount val="1"/>
                <c:pt idx="0">
                  <c:v>8 A.</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val>
            <c:numRef>
              <c:f>'Take Profit Mini Índice'!$K$45:$K$53</c:f>
              <c:numCache>
                <c:formatCode>0</c:formatCode>
                <c:ptCount val="9"/>
                <c:pt idx="0">
                  <c:v>50</c:v>
                </c:pt>
                <c:pt idx="1">
                  <c:v>40</c:v>
                </c:pt>
                <c:pt idx="2">
                  <c:v>35</c:v>
                </c:pt>
                <c:pt idx="3">
                  <c:v>25</c:v>
                </c:pt>
                <c:pt idx="4">
                  <c:v>20</c:v>
                </c:pt>
                <c:pt idx="5">
                  <c:v>15</c:v>
                </c:pt>
                <c:pt idx="6">
                  <c:v>10</c:v>
                </c:pt>
                <c:pt idx="7">
                  <c:v>5</c:v>
                </c:pt>
                <c:pt idx="8">
                  <c:v>5</c:v>
                </c:pt>
              </c:numCache>
            </c:numRef>
          </c:val>
          <c:smooth val="0"/>
          <c:extLst>
            <c:ext xmlns:c16="http://schemas.microsoft.com/office/drawing/2014/chart" uri="{C3380CC4-5D6E-409C-BE32-E72D297353CC}">
              <c16:uniqueId val="{00000007-1710-445D-87D2-3730EFD290B7}"/>
            </c:ext>
          </c:extLst>
        </c:ser>
        <c:ser>
          <c:idx val="8"/>
          <c:order val="8"/>
          <c:tx>
            <c:strRef>
              <c:f>'Take Profit Mini Índice'!$L$5</c:f>
              <c:strCache>
                <c:ptCount val="1"/>
                <c:pt idx="0">
                  <c:v>9 A.</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val>
            <c:numRef>
              <c:f>'Take Profit Mini Índice'!$L$45:$L$54</c:f>
              <c:numCache>
                <c:formatCode>0</c:formatCode>
                <c:ptCount val="10"/>
                <c:pt idx="0">
                  <c:v>50</c:v>
                </c:pt>
                <c:pt idx="1">
                  <c:v>45</c:v>
                </c:pt>
                <c:pt idx="2">
                  <c:v>35</c:v>
                </c:pt>
                <c:pt idx="3">
                  <c:v>30</c:v>
                </c:pt>
                <c:pt idx="4">
                  <c:v>20</c:v>
                </c:pt>
                <c:pt idx="5">
                  <c:v>15</c:v>
                </c:pt>
                <c:pt idx="6">
                  <c:v>15</c:v>
                </c:pt>
                <c:pt idx="7">
                  <c:v>10</c:v>
                </c:pt>
                <c:pt idx="8">
                  <c:v>5</c:v>
                </c:pt>
                <c:pt idx="9">
                  <c:v>5</c:v>
                </c:pt>
              </c:numCache>
            </c:numRef>
          </c:val>
          <c:smooth val="0"/>
          <c:extLst>
            <c:ext xmlns:c16="http://schemas.microsoft.com/office/drawing/2014/chart" uri="{C3380CC4-5D6E-409C-BE32-E72D297353CC}">
              <c16:uniqueId val="{00000008-1710-445D-87D2-3730EFD290B7}"/>
            </c:ext>
          </c:extLst>
        </c:ser>
        <c:ser>
          <c:idx val="9"/>
          <c:order val="9"/>
          <c:tx>
            <c:strRef>
              <c:f>'Take Profit Mini Índice'!$M$5</c:f>
              <c:strCache>
                <c:ptCount val="1"/>
                <c:pt idx="0">
                  <c:v>10 A.</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val>
            <c:numRef>
              <c:f>'Take Profit Mini Índice'!$M$45:$M$55</c:f>
              <c:numCache>
                <c:formatCode>0</c:formatCode>
                <c:ptCount val="11"/>
                <c:pt idx="0">
                  <c:v>50</c:v>
                </c:pt>
                <c:pt idx="1">
                  <c:v>45</c:v>
                </c:pt>
                <c:pt idx="2">
                  <c:v>40</c:v>
                </c:pt>
                <c:pt idx="3">
                  <c:v>30</c:v>
                </c:pt>
                <c:pt idx="4">
                  <c:v>25</c:v>
                </c:pt>
                <c:pt idx="5">
                  <c:v>20</c:v>
                </c:pt>
                <c:pt idx="6">
                  <c:v>15</c:v>
                </c:pt>
                <c:pt idx="7">
                  <c:v>10</c:v>
                </c:pt>
                <c:pt idx="8">
                  <c:v>5</c:v>
                </c:pt>
                <c:pt idx="9">
                  <c:v>5</c:v>
                </c:pt>
                <c:pt idx="10">
                  <c:v>5</c:v>
                </c:pt>
              </c:numCache>
            </c:numRef>
          </c:val>
          <c:smooth val="0"/>
          <c:extLst>
            <c:ext xmlns:c16="http://schemas.microsoft.com/office/drawing/2014/chart" uri="{C3380CC4-5D6E-409C-BE32-E72D297353CC}">
              <c16:uniqueId val="{00000009-1710-445D-87D2-3730EFD290B7}"/>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1"/>
        <c:axPos val="b"/>
        <c:majorTickMark val="none"/>
        <c:minorTickMark val="none"/>
        <c:tickLblPos val="nextTo"/>
        <c:crossAx val="46161455"/>
        <c:crosses val="autoZero"/>
        <c:auto val="0"/>
        <c:lblAlgn val="ctr"/>
        <c:lblOffset val="100"/>
        <c:tickLblSkip val="1"/>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inorUnit val="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95477681903182"/>
          <c:y val="7.4051866630760951E-2"/>
          <c:w val="0.8121868632235667"/>
          <c:h val="0.81148719849636408"/>
        </c:manualLayout>
      </c:layout>
      <c:lineChart>
        <c:grouping val="standard"/>
        <c:varyColors val="0"/>
        <c:ser>
          <c:idx val="0"/>
          <c:order val="0"/>
          <c:tx>
            <c:strRef>
              <c:f>'Take Profit Mini Índice'!$F$5</c:f>
              <c:strCache>
                <c:ptCount val="1"/>
                <c:pt idx="0">
                  <c:v>3 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'Take Profit Mini Índice'!$F$58:$F$61</c:f>
              <c:numCache>
                <c:formatCode>0</c:formatCode>
                <c:ptCount val="4"/>
                <c:pt idx="0">
                  <c:v>25</c:v>
                </c:pt>
                <c:pt idx="1">
                  <c:v>15</c:v>
                </c:pt>
                <c:pt idx="2">
                  <c:v>10</c:v>
                </c:pt>
                <c:pt idx="3">
                  <c:v>5</c:v>
                </c:pt>
              </c:numCache>
            </c:numRef>
          </c:val>
          <c:smooth val="0"/>
          <c:extLst>
            <c:ext xmlns:c16="http://schemas.microsoft.com/office/drawing/2014/chart" uri="{C3380CC4-5D6E-409C-BE32-E72D297353CC}">
              <c16:uniqueId val="{00000000-CEC3-4C12-8D70-ACA68F20A4F6}"/>
            </c:ext>
          </c:extLst>
        </c:ser>
        <c:ser>
          <c:idx val="1"/>
          <c:order val="1"/>
          <c:tx>
            <c:strRef>
              <c:f>'Take Profit Mini Índice'!$G$5</c:f>
              <c:strCache>
                <c:ptCount val="1"/>
                <c:pt idx="0">
                  <c:v>4 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'Take Profit Mini Índice'!$G$58:$G$62</c:f>
              <c:numCache>
                <c:formatCode>0</c:formatCode>
                <c:ptCount val="5"/>
                <c:pt idx="0">
                  <c:v>25</c:v>
                </c:pt>
                <c:pt idx="1">
                  <c:v>20</c:v>
                </c:pt>
                <c:pt idx="2">
                  <c:v>10</c:v>
                </c:pt>
                <c:pt idx="3">
                  <c:v>5</c:v>
                </c:pt>
                <c:pt idx="4">
                  <c:v>5</c:v>
                </c:pt>
              </c:numCache>
            </c:numRef>
          </c:val>
          <c:smooth val="0"/>
          <c:extLst>
            <c:ext xmlns:c16="http://schemas.microsoft.com/office/drawing/2014/chart" uri="{C3380CC4-5D6E-409C-BE32-E72D297353CC}">
              <c16:uniqueId val="{00000001-CEC3-4C12-8D70-ACA68F20A4F6}"/>
            </c:ext>
          </c:extLst>
        </c:ser>
        <c:ser>
          <c:idx val="2"/>
          <c:order val="2"/>
          <c:tx>
            <c:strRef>
              <c:f>'Take Profit Mini Índice'!$H$5</c:f>
              <c:strCache>
                <c:ptCount val="1"/>
                <c:pt idx="0">
                  <c:v>5 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'Take Profit Mini Índice'!$H$58:$H$63</c:f>
              <c:numCache>
                <c:formatCode>0</c:formatCode>
                <c:ptCount val="6"/>
                <c:pt idx="0">
                  <c:v>25</c:v>
                </c:pt>
                <c:pt idx="1">
                  <c:v>20</c:v>
                </c:pt>
                <c:pt idx="2">
                  <c:v>15</c:v>
                </c:pt>
                <c:pt idx="3">
                  <c:v>10</c:v>
                </c:pt>
                <c:pt idx="4">
                  <c:v>5</c:v>
                </c:pt>
                <c:pt idx="5">
                  <c:v>5</c:v>
                </c:pt>
              </c:numCache>
            </c:numRef>
          </c:val>
          <c:smooth val="0"/>
          <c:extLst>
            <c:ext xmlns:c16="http://schemas.microsoft.com/office/drawing/2014/chart" uri="{C3380CC4-5D6E-409C-BE32-E72D297353CC}">
              <c16:uniqueId val="{00000002-CEC3-4C12-8D70-ACA68F20A4F6}"/>
            </c:ext>
          </c:extLst>
        </c:ser>
        <c:ser>
          <c:idx val="3"/>
          <c:order val="3"/>
          <c:tx>
            <c:strRef>
              <c:f>'Take Profit Mini Índice'!$E$5</c:f>
              <c:strCache>
                <c:ptCount val="1"/>
                <c:pt idx="0">
                  <c:v>2 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'Take Profit Mini Índice'!$E$58:$E$60</c:f>
              <c:numCache>
                <c:formatCode>0</c:formatCode>
                <c:ptCount val="3"/>
                <c:pt idx="0">
                  <c:v>25</c:v>
                </c:pt>
                <c:pt idx="1">
                  <c:v>15</c:v>
                </c:pt>
                <c:pt idx="2">
                  <c:v>5</c:v>
                </c:pt>
              </c:numCache>
            </c:numRef>
          </c:val>
          <c:smooth val="0"/>
          <c:extLst>
            <c:ext xmlns:c16="http://schemas.microsoft.com/office/drawing/2014/chart" uri="{C3380CC4-5D6E-409C-BE32-E72D297353CC}">
              <c16:uniqueId val="{00000003-CEC3-4C12-8D70-ACA68F20A4F6}"/>
            </c:ext>
          </c:extLst>
        </c:ser>
        <c:ser>
          <c:idx val="4"/>
          <c:order val="4"/>
          <c:tx>
            <c:strRef>
              <c:f>'Take Profit Mini Índice'!$D$5</c:f>
              <c:strCache>
                <c:ptCount val="1"/>
                <c:pt idx="0">
                  <c:v>1 A.</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'Take Profit Mini Índice'!$D$58:$D$59</c:f>
              <c:numCache>
                <c:formatCode>0</c:formatCode>
                <c:ptCount val="2"/>
                <c:pt idx="0">
                  <c:v>25</c:v>
                </c:pt>
                <c:pt idx="1">
                  <c:v>5</c:v>
                </c:pt>
              </c:numCache>
            </c:numRef>
          </c:val>
          <c:smooth val="0"/>
          <c:extLst>
            <c:ext xmlns:c16="http://schemas.microsoft.com/office/drawing/2014/chart" uri="{C3380CC4-5D6E-409C-BE32-E72D297353CC}">
              <c16:uniqueId val="{00000004-CEC3-4C12-8D70-ACA68F20A4F6}"/>
            </c:ext>
          </c:extLst>
        </c:ser>
        <c:ser>
          <c:idx val="5"/>
          <c:order val="5"/>
          <c:tx>
            <c:strRef>
              <c:f>'Take Profit Mini Índice'!$I$5</c:f>
              <c:strCache>
                <c:ptCount val="1"/>
                <c:pt idx="0">
                  <c:v>6 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'Take Profit Mini Índice'!$I$58:$I$64</c:f>
              <c:numCache>
                <c:formatCode>0</c:formatCode>
                <c:ptCount val="7"/>
                <c:pt idx="0">
                  <c:v>25</c:v>
                </c:pt>
                <c:pt idx="1">
                  <c:v>20</c:v>
                </c:pt>
                <c:pt idx="2">
                  <c:v>15</c:v>
                </c:pt>
                <c:pt idx="3">
                  <c:v>10</c:v>
                </c:pt>
                <c:pt idx="4">
                  <c:v>5</c:v>
                </c:pt>
                <c:pt idx="5">
                  <c:v>5</c:v>
                </c:pt>
                <c:pt idx="6">
                  <c:v>5</c:v>
                </c:pt>
              </c:numCache>
            </c:numRef>
          </c:val>
          <c:smooth val="0"/>
          <c:extLst>
            <c:ext xmlns:c16="http://schemas.microsoft.com/office/drawing/2014/chart" uri="{C3380CC4-5D6E-409C-BE32-E72D297353CC}">
              <c16:uniqueId val="{00000005-CEC3-4C12-8D70-ACA68F20A4F6}"/>
            </c:ext>
          </c:extLst>
        </c:ser>
        <c:ser>
          <c:idx val="6"/>
          <c:order val="6"/>
          <c:tx>
            <c:strRef>
              <c:f>'Take Profit Mini Índice'!$J$5</c:f>
              <c:strCache>
                <c:ptCount val="1"/>
                <c:pt idx="0">
                  <c:v>7 A.</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'Take Profit Mini Índice'!$J$58:$J$65</c:f>
              <c:numCache>
                <c:formatCode>0</c:formatCode>
                <c:ptCount val="8"/>
                <c:pt idx="0">
                  <c:v>25</c:v>
                </c:pt>
                <c:pt idx="1">
                  <c:v>20</c:v>
                </c:pt>
                <c:pt idx="2">
                  <c:v>15</c:v>
                </c:pt>
                <c:pt idx="3">
                  <c:v>10</c:v>
                </c:pt>
                <c:pt idx="4">
                  <c:v>10</c:v>
                </c:pt>
                <c:pt idx="5">
                  <c:v>5</c:v>
                </c:pt>
                <c:pt idx="6">
                  <c:v>5</c:v>
                </c:pt>
                <c:pt idx="7">
                  <c:v>5</c:v>
                </c:pt>
              </c:numCache>
            </c:numRef>
          </c:val>
          <c:smooth val="0"/>
          <c:extLst>
            <c:ext xmlns:c16="http://schemas.microsoft.com/office/drawing/2014/chart" uri="{C3380CC4-5D6E-409C-BE32-E72D297353CC}">
              <c16:uniqueId val="{00000006-CEC3-4C12-8D70-ACA68F20A4F6}"/>
            </c:ext>
          </c:extLst>
        </c:ser>
        <c:ser>
          <c:idx val="7"/>
          <c:order val="7"/>
          <c:tx>
            <c:strRef>
              <c:f>'Take Profit Mini Índice'!$K$5</c:f>
              <c:strCache>
                <c:ptCount val="1"/>
                <c:pt idx="0">
                  <c:v>8 A.</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val>
            <c:numRef>
              <c:f>'Take Profit Mini Índice'!$K$58:$K$66</c:f>
              <c:numCache>
                <c:formatCode>0</c:formatCode>
                <c:ptCount val="9"/>
                <c:pt idx="0">
                  <c:v>25</c:v>
                </c:pt>
                <c:pt idx="1">
                  <c:v>20</c:v>
                </c:pt>
                <c:pt idx="2">
                  <c:v>15</c:v>
                </c:pt>
                <c:pt idx="3">
                  <c:v>15</c:v>
                </c:pt>
                <c:pt idx="4">
                  <c:v>10</c:v>
                </c:pt>
                <c:pt idx="5">
                  <c:v>5</c:v>
                </c:pt>
                <c:pt idx="6">
                  <c:v>5</c:v>
                </c:pt>
                <c:pt idx="7">
                  <c:v>5</c:v>
                </c:pt>
                <c:pt idx="8">
                  <c:v>5</c:v>
                </c:pt>
              </c:numCache>
            </c:numRef>
          </c:val>
          <c:smooth val="0"/>
          <c:extLst>
            <c:ext xmlns:c16="http://schemas.microsoft.com/office/drawing/2014/chart" uri="{C3380CC4-5D6E-409C-BE32-E72D297353CC}">
              <c16:uniqueId val="{00000007-CEC3-4C12-8D70-ACA68F20A4F6}"/>
            </c:ext>
          </c:extLst>
        </c:ser>
        <c:ser>
          <c:idx val="8"/>
          <c:order val="8"/>
          <c:tx>
            <c:strRef>
              <c:f>'Take Profit Mini Índice'!$L$5</c:f>
              <c:strCache>
                <c:ptCount val="1"/>
                <c:pt idx="0">
                  <c:v>9 A.</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val>
            <c:numRef>
              <c:f>'Take Profit Mini Índice'!$L$58:$L$67</c:f>
              <c:numCache>
                <c:formatCode>0</c:formatCode>
                <c:ptCount val="10"/>
                <c:pt idx="0">
                  <c:v>25</c:v>
                </c:pt>
                <c:pt idx="1">
                  <c:v>20</c:v>
                </c:pt>
                <c:pt idx="2">
                  <c:v>15</c:v>
                </c:pt>
                <c:pt idx="3">
                  <c:v>15</c:v>
                </c:pt>
                <c:pt idx="4">
                  <c:v>10</c:v>
                </c:pt>
                <c:pt idx="5">
                  <c:v>10</c:v>
                </c:pt>
                <c:pt idx="6">
                  <c:v>5</c:v>
                </c:pt>
                <c:pt idx="7">
                  <c:v>5</c:v>
                </c:pt>
                <c:pt idx="8">
                  <c:v>5</c:v>
                </c:pt>
                <c:pt idx="9">
                  <c:v>5</c:v>
                </c:pt>
              </c:numCache>
            </c:numRef>
          </c:val>
          <c:smooth val="0"/>
          <c:extLst>
            <c:ext xmlns:c16="http://schemas.microsoft.com/office/drawing/2014/chart" uri="{C3380CC4-5D6E-409C-BE32-E72D297353CC}">
              <c16:uniqueId val="{00000008-CEC3-4C12-8D70-ACA68F20A4F6}"/>
            </c:ext>
          </c:extLst>
        </c:ser>
        <c:ser>
          <c:idx val="9"/>
          <c:order val="9"/>
          <c:tx>
            <c:strRef>
              <c:f>'Take Profit Mini Índice'!$M$5</c:f>
              <c:strCache>
                <c:ptCount val="1"/>
                <c:pt idx="0">
                  <c:v>10 A.</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val>
            <c:numRef>
              <c:f>'Take Profit Mini Índice'!$M$58:$M$68</c:f>
              <c:numCache>
                <c:formatCode>0</c:formatCode>
                <c:ptCount val="11"/>
                <c:pt idx="0">
                  <c:v>25</c:v>
                </c:pt>
                <c:pt idx="1">
                  <c:v>20</c:v>
                </c:pt>
                <c:pt idx="2">
                  <c:v>20</c:v>
                </c:pt>
                <c:pt idx="3">
                  <c:v>15</c:v>
                </c:pt>
                <c:pt idx="4">
                  <c:v>10</c:v>
                </c:pt>
                <c:pt idx="5">
                  <c:v>10</c:v>
                </c:pt>
                <c:pt idx="6">
                  <c:v>5</c:v>
                </c:pt>
                <c:pt idx="7">
                  <c:v>5</c:v>
                </c:pt>
                <c:pt idx="8">
                  <c:v>5</c:v>
                </c:pt>
                <c:pt idx="9">
                  <c:v>5</c:v>
                </c:pt>
                <c:pt idx="10">
                  <c:v>5</c:v>
                </c:pt>
              </c:numCache>
            </c:numRef>
          </c:val>
          <c:smooth val="0"/>
          <c:extLst>
            <c:ext xmlns:c16="http://schemas.microsoft.com/office/drawing/2014/chart" uri="{C3380CC4-5D6E-409C-BE32-E72D297353CC}">
              <c16:uniqueId val="{00000009-CEC3-4C12-8D70-ACA68F20A4F6}"/>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1"/>
        <c:axPos val="b"/>
        <c:majorTickMark val="none"/>
        <c:minorTickMark val="none"/>
        <c:tickLblPos val="nextTo"/>
        <c:crossAx val="46161455"/>
        <c:crosses val="autoZero"/>
        <c:auto val="0"/>
        <c:lblAlgn val="ctr"/>
        <c:lblOffset val="100"/>
        <c:tickLblSkip val="1"/>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inorUnit val="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Regressivo 2</a:t>
            </a:r>
          </a:p>
        </c:rich>
      </c:tx>
      <c:layout>
        <c:manualLayout>
          <c:xMode val="edge"/>
          <c:yMode val="edge"/>
          <c:x val="0.31517337155263203"/>
          <c:y val="5.3841713749768741E-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3616445848460562"/>
          <c:y val="0.12221200921313408"/>
          <c:w val="0.8121868632235667"/>
          <c:h val="0.75879757887406929"/>
        </c:manualLayout>
      </c:layout>
      <c:lineChart>
        <c:grouping val="stacked"/>
        <c:varyColors val="0"/>
        <c:ser>
          <c:idx val="0"/>
          <c:order val="0"/>
          <c:tx>
            <c:strRef>
              <c:f>'Estratégias Mini Dólar'!$D$93:$F$93</c:f>
              <c:strCache>
                <c:ptCount val="1"/>
                <c:pt idx="0">
                  <c:v>Regressivo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Dólar'!$P$103:$P$113</c:f>
              <c:numCache>
                <c:formatCode>0</c:formatCode>
                <c:ptCount val="11"/>
                <c:pt idx="0" formatCode="General">
                  <c:v>0</c:v>
                </c:pt>
                <c:pt idx="1">
                  <c:v>10</c:v>
                </c:pt>
                <c:pt idx="2">
                  <c:v>20</c:v>
                </c:pt>
                <c:pt idx="3">
                  <c:v>29</c:v>
                </c:pt>
                <c:pt idx="4">
                  <c:v>36.5</c:v>
                </c:pt>
                <c:pt idx="5">
                  <c:v>41.5</c:v>
                </c:pt>
                <c:pt idx="6">
                  <c:v>45.5</c:v>
                </c:pt>
                <c:pt idx="7">
                  <c:v>49</c:v>
                </c:pt>
                <c:pt idx="8">
                  <c:v>52</c:v>
                </c:pt>
                <c:pt idx="9">
                  <c:v>56</c:v>
                </c:pt>
                <c:pt idx="10">
                  <c:v>59</c:v>
                </c:pt>
              </c:numCache>
            </c:numRef>
          </c:val>
          <c:smooth val="0"/>
          <c:extLst>
            <c:ext xmlns:c16="http://schemas.microsoft.com/office/drawing/2014/chart" uri="{C3380CC4-5D6E-409C-BE32-E72D297353CC}">
              <c16:uniqueId val="{00000000-7338-453E-923E-571F13C44F0C}"/>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1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450059651634457"/>
          <c:y val="5.0925932556898437E-2"/>
          <c:w val="0.71549940348365548"/>
          <c:h val="0.70763714606345585"/>
        </c:manualLayout>
      </c:layout>
      <c:lineChart>
        <c:grouping val="standard"/>
        <c:varyColors val="0"/>
        <c:ser>
          <c:idx val="0"/>
          <c:order val="0"/>
          <c:tx>
            <c:v>Reentradas</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'Mini Dólar'!$H$4:$H$14</c:f>
              <c:numCache>
                <c:formatCode>0</c:formatCode>
                <c:ptCount val="11"/>
                <c:pt idx="0">
                  <c:v>21</c:v>
                </c:pt>
                <c:pt idx="1">
                  <c:v>27</c:v>
                </c:pt>
                <c:pt idx="2">
                  <c:v>43</c:v>
                </c:pt>
                <c:pt idx="3">
                  <c:v>58</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27F4-4E75-A136-AC795DD8BB61}"/>
            </c:ext>
          </c:extLst>
        </c:ser>
        <c:ser>
          <c:idx val="1"/>
          <c:order val="1"/>
          <c:tx>
            <c:v>Preço Médio</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'Mini Dólar'!$P$4:$P$14</c:f>
              <c:numCache>
                <c:formatCode>0.00</c:formatCode>
                <c:ptCount val="11"/>
                <c:pt idx="0">
                  <c:v>21</c:v>
                </c:pt>
                <c:pt idx="1">
                  <c:v>24</c:v>
                </c:pt>
                <c:pt idx="2">
                  <c:v>33.5</c:v>
                </c:pt>
                <c:pt idx="3">
                  <c:v>45.75</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27F4-4E75-A136-AC795DD8BB61}"/>
            </c:ext>
          </c:extLst>
        </c:ser>
        <c:ser>
          <c:idx val="2"/>
          <c:order val="2"/>
          <c:tx>
            <c:v>Stop</c:v>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'Mini Dólar'!$B$4</c:f>
              <c:numCache>
                <c:formatCode>0</c:formatCode>
                <c:ptCount val="1"/>
                <c:pt idx="0">
                  <c:v>50</c:v>
                </c:pt>
              </c:numCache>
            </c:numRef>
          </c:val>
          <c:smooth val="0"/>
          <c:extLst>
            <c:ext xmlns:c16="http://schemas.microsoft.com/office/drawing/2014/chart" uri="{C3380CC4-5D6E-409C-BE32-E72D297353CC}">
              <c16:uniqueId val="{00000002-27F4-4E75-A136-AC795DD8BB61}"/>
            </c:ext>
          </c:extLst>
        </c:ser>
        <c:dLbls>
          <c:dLblPos val="t"/>
          <c:showLegendKey val="0"/>
          <c:showVal val="1"/>
          <c:showCatName val="0"/>
          <c:showSerName val="0"/>
          <c:showPercent val="0"/>
          <c:showBubbleSize val="0"/>
        </c:dLbls>
        <c:marker val="1"/>
        <c:smooth val="0"/>
        <c:axId val="486714096"/>
        <c:axId val="489382192"/>
        <c:extLst>
          <c:ext xmlns:c15="http://schemas.microsoft.com/office/drawing/2012/chart" uri="{02D57815-91ED-43cb-92C2-25804820EDAC}">
            <c15:filteredLineSeries>
              <c15:ser>
                <c:idx val="3"/>
                <c:order val="3"/>
                <c:tx>
                  <c:v>Take Profit</c:v>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pt-BR"/>
                    </a:p>
                  </c:txPr>
                  <c:dLblPos val="t"/>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'Mini Dólar'!$Q$4:$Q$14</c15:sqref>
                        </c15:formulaRef>
                      </c:ext>
                    </c:extLst>
                    <c:numCache>
                      <c:formatCode>0.00</c:formatCode>
                      <c:ptCount val="11"/>
                      <c:pt idx="0">
                        <c:v>21</c:v>
                      </c:pt>
                      <c:pt idx="1">
                        <c:v>29.5</c:v>
                      </c:pt>
                      <c:pt idx="2">
                        <c:v>39</c:v>
                      </c:pt>
                      <c:pt idx="3">
                        <c:v>51.25</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3-27F4-4E75-A136-AC795DD8BB61}"/>
                  </c:ext>
                </c:extLst>
              </c15:ser>
            </c15:filteredLineSeries>
          </c:ext>
        </c:extLst>
      </c:lineChart>
      <c:catAx>
        <c:axId val="486714096"/>
        <c:scaling>
          <c:orientation val="minMax"/>
        </c:scaling>
        <c:delete val="0"/>
        <c:axPos val="b"/>
        <c:numFmt formatCode="0.0"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pt-BR"/>
          </a:p>
        </c:txPr>
        <c:crossAx val="489382192"/>
        <c:crosses val="autoZero"/>
        <c:auto val="1"/>
        <c:lblAlgn val="ctr"/>
        <c:lblOffset val="100"/>
        <c:noMultiLvlLbl val="0"/>
      </c:catAx>
      <c:valAx>
        <c:axId val="489382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pt-BR"/>
          </a:p>
        </c:txPr>
        <c:crossAx val="4867140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ln>
                  <a:noFill/>
                </a:ln>
                <a:solidFill>
                  <a:schemeClr val="tx1"/>
                </a:solidFill>
                <a:latin typeface="+mn-lt"/>
                <a:ea typeface="+mn-ea"/>
                <a:cs typeface="+mn-cs"/>
              </a:defRPr>
            </a:pPr>
            <a:endParaRPr lang="pt-BR"/>
          </a:p>
        </c:txPr>
      </c:dTable>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n>
            <a:noFill/>
          </a:ln>
          <a:solidFill>
            <a:schemeClr val="tx1"/>
          </a:solidFill>
        </a:defRPr>
      </a:pPr>
      <a:endParaRPr lang="pt-BR"/>
    </a:p>
  </c:txPr>
  <c:printSettings>
    <c:headerFooter/>
    <c:pageMargins b="0.78740157499999996" l="0.511811024" r="0.511811024" t="0.78740157499999996" header="0.31496062000000002" footer="0.3149606200000000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095477681903182"/>
          <c:y val="0.15626017412916227"/>
          <c:w val="0.8121868632235667"/>
          <c:h val="0.72927886901388672"/>
        </c:manualLayout>
      </c:layout>
      <c:lineChart>
        <c:grouping val="stacked"/>
        <c:varyColors val="0"/>
        <c:ser>
          <c:idx val="0"/>
          <c:order val="0"/>
          <c:tx>
            <c:strRef>
              <c:f>'Estratégias Mini Dólar'!$D$93:$F$93</c:f>
              <c:strCache>
                <c:ptCount val="1"/>
                <c:pt idx="0">
                  <c:v>Regressivo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Dólar'!$P$92:$P$102</c:f>
              <c:numCache>
                <c:formatCode>0</c:formatCode>
                <c:ptCount val="11"/>
                <c:pt idx="0" formatCode="General">
                  <c:v>0</c:v>
                </c:pt>
                <c:pt idx="1">
                  <c:v>14.5</c:v>
                </c:pt>
                <c:pt idx="2">
                  <c:v>24</c:v>
                </c:pt>
                <c:pt idx="3">
                  <c:v>32.5</c:v>
                </c:pt>
                <c:pt idx="4">
                  <c:v>39</c:v>
                </c:pt>
                <c:pt idx="5">
                  <c:v>44.5</c:v>
                </c:pt>
                <c:pt idx="6">
                  <c:v>49</c:v>
                </c:pt>
                <c:pt idx="7">
                  <c:v>52</c:v>
                </c:pt>
                <c:pt idx="8">
                  <c:v>55</c:v>
                </c:pt>
                <c:pt idx="9">
                  <c:v>57.5</c:v>
                </c:pt>
                <c:pt idx="10">
                  <c:v>59</c:v>
                </c:pt>
              </c:numCache>
            </c:numRef>
          </c:val>
          <c:smooth val="0"/>
          <c:extLst>
            <c:ext xmlns:c16="http://schemas.microsoft.com/office/drawing/2014/chart" uri="{C3380CC4-5D6E-409C-BE32-E72D297353CC}">
              <c16:uniqueId val="{00000000-615A-455F-BF7D-F027253018D2}"/>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1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095477681903182"/>
          <c:y val="0.19640358017949625"/>
          <c:w val="0.8121868632235667"/>
          <c:h val="0.68913542603445788"/>
        </c:manualLayout>
      </c:layout>
      <c:lineChart>
        <c:grouping val="stacked"/>
        <c:varyColors val="0"/>
        <c:ser>
          <c:idx val="0"/>
          <c:order val="0"/>
          <c:tx>
            <c:strRef>
              <c:f>'Estratégias Mini Dólar'!$D$16:$F$16</c:f>
              <c:strCache>
                <c:ptCount val="1"/>
                <c:pt idx="0">
                  <c:v>Progressivo Forte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Dólar'!$P$17:$P$25</c:f>
              <c:numCache>
                <c:formatCode>0</c:formatCode>
                <c:ptCount val="9"/>
                <c:pt idx="0" formatCode="General">
                  <c:v>0</c:v>
                </c:pt>
                <c:pt idx="1">
                  <c:v>2</c:v>
                </c:pt>
                <c:pt idx="2">
                  <c:v>4</c:v>
                </c:pt>
                <c:pt idx="3">
                  <c:v>9</c:v>
                </c:pt>
                <c:pt idx="4">
                  <c:v>18</c:v>
                </c:pt>
                <c:pt idx="5">
                  <c:v>30</c:v>
                </c:pt>
                <c:pt idx="6">
                  <c:v>42</c:v>
                </c:pt>
                <c:pt idx="7">
                  <c:v>54</c:v>
                </c:pt>
                <c:pt idx="8" formatCode="General">
                  <c:v>60</c:v>
                </c:pt>
              </c:numCache>
            </c:numRef>
          </c:val>
          <c:smooth val="0"/>
          <c:extLst>
            <c:ext xmlns:c16="http://schemas.microsoft.com/office/drawing/2014/chart" uri="{C3380CC4-5D6E-409C-BE32-E72D297353CC}">
              <c16:uniqueId val="{00000000-2F40-40C9-855E-5BFAC0A330D0}"/>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1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0347086667014822"/>
          <c:y val="4.4067767204212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095477681903182"/>
          <c:y val="0.19640358017949625"/>
          <c:w val="0.8121868632235667"/>
          <c:h val="0.68913542603445788"/>
        </c:manualLayout>
      </c:layout>
      <c:lineChart>
        <c:grouping val="stacked"/>
        <c:varyColors val="0"/>
        <c:ser>
          <c:idx val="0"/>
          <c:order val="0"/>
          <c:tx>
            <c:strRef>
              <c:f>'Estratégias Mini Dólar'!$D$5:$F$5</c:f>
              <c:strCache>
                <c:ptCount val="1"/>
                <c:pt idx="0">
                  <c:v>Progressivo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Dólar'!$P$6:$P$14</c:f>
              <c:numCache>
                <c:formatCode>0</c:formatCode>
                <c:ptCount val="9"/>
                <c:pt idx="0" formatCode="General">
                  <c:v>0</c:v>
                </c:pt>
                <c:pt idx="1">
                  <c:v>3.5</c:v>
                </c:pt>
                <c:pt idx="2">
                  <c:v>9</c:v>
                </c:pt>
                <c:pt idx="3">
                  <c:v>15.5</c:v>
                </c:pt>
                <c:pt idx="4">
                  <c:v>24</c:v>
                </c:pt>
                <c:pt idx="5">
                  <c:v>33</c:v>
                </c:pt>
                <c:pt idx="6">
                  <c:v>42</c:v>
                </c:pt>
                <c:pt idx="7">
                  <c:v>51</c:v>
                </c:pt>
                <c:pt idx="8" formatCode="General">
                  <c:v>60</c:v>
                </c:pt>
              </c:numCache>
            </c:numRef>
          </c:val>
          <c:smooth val="0"/>
          <c:extLst>
            <c:ext xmlns:c16="http://schemas.microsoft.com/office/drawing/2014/chart" uri="{C3380CC4-5D6E-409C-BE32-E72D297353CC}">
              <c16:uniqueId val="{00000000-63F8-4D69-8DCD-838CD63A36C9}"/>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1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095484543150219"/>
          <c:y val="0.17577836829401486"/>
          <c:w val="0.8121868632235667"/>
          <c:h val="0.68913542603445788"/>
        </c:manualLayout>
      </c:layout>
      <c:lineChart>
        <c:grouping val="stacked"/>
        <c:varyColors val="0"/>
        <c:ser>
          <c:idx val="0"/>
          <c:order val="0"/>
          <c:tx>
            <c:strRef>
              <c:f>'Estratégias Mini Dólar'!$D$60:$F$60</c:f>
              <c:strCache>
                <c:ptCount val="1"/>
                <c:pt idx="0">
                  <c:v>Grade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Dólar'!$O$61:$O$68</c:f>
              <c:numCache>
                <c:formatCode>0</c:formatCode>
                <c:ptCount val="8"/>
                <c:pt idx="0" formatCode="General">
                  <c:v>0</c:v>
                </c:pt>
                <c:pt idx="1">
                  <c:v>7.5</c:v>
                </c:pt>
                <c:pt idx="2">
                  <c:v>15</c:v>
                </c:pt>
                <c:pt idx="3">
                  <c:v>22.5</c:v>
                </c:pt>
                <c:pt idx="4">
                  <c:v>30</c:v>
                </c:pt>
                <c:pt idx="5">
                  <c:v>37.5</c:v>
                </c:pt>
                <c:pt idx="6">
                  <c:v>45</c:v>
                </c:pt>
                <c:pt idx="7">
                  <c:v>52.5</c:v>
                </c:pt>
              </c:numCache>
            </c:numRef>
          </c:val>
          <c:smooth val="0"/>
          <c:extLst>
            <c:ext xmlns:c16="http://schemas.microsoft.com/office/drawing/2014/chart" uri="{C3380CC4-5D6E-409C-BE32-E72D297353CC}">
              <c16:uniqueId val="{00000000-8C2F-4603-9D08-DD9FFE0D23DC}"/>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1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095477681903182"/>
          <c:y val="0.19640358017949625"/>
          <c:w val="0.8121868632235667"/>
          <c:h val="0.68913542603445788"/>
        </c:manualLayout>
      </c:layout>
      <c:lineChart>
        <c:grouping val="stacked"/>
        <c:varyColors val="0"/>
        <c:ser>
          <c:idx val="0"/>
          <c:order val="0"/>
          <c:tx>
            <c:strRef>
              <c:f>'Estratégias Mini Dólar'!$D$115:$F$115</c:f>
              <c:strCache>
                <c:ptCount val="1"/>
                <c:pt idx="0">
                  <c:v>Grade Progressiva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Dólar'!$P$116:$P$126</c:f>
              <c:numCache>
                <c:formatCode>0</c:formatCode>
                <c:ptCount val="11"/>
                <c:pt idx="0" formatCode="General">
                  <c:v>0</c:v>
                </c:pt>
                <c:pt idx="1">
                  <c:v>5.5</c:v>
                </c:pt>
                <c:pt idx="2">
                  <c:v>11</c:v>
                </c:pt>
                <c:pt idx="3">
                  <c:v>16.5</c:v>
                </c:pt>
                <c:pt idx="4">
                  <c:v>22</c:v>
                </c:pt>
                <c:pt idx="5">
                  <c:v>27</c:v>
                </c:pt>
                <c:pt idx="6">
                  <c:v>32.5</c:v>
                </c:pt>
                <c:pt idx="7">
                  <c:v>38</c:v>
                </c:pt>
                <c:pt idx="8">
                  <c:v>43.5</c:v>
                </c:pt>
                <c:pt idx="9">
                  <c:v>49</c:v>
                </c:pt>
                <c:pt idx="10">
                  <c:v>54.5</c:v>
                </c:pt>
              </c:numCache>
            </c:numRef>
          </c:val>
          <c:smooth val="0"/>
          <c:extLst>
            <c:ext xmlns:c16="http://schemas.microsoft.com/office/drawing/2014/chart" uri="{C3380CC4-5D6E-409C-BE32-E72D297353CC}">
              <c16:uniqueId val="{00000000-7ED4-4C91-AFAB-DE47A8AAB578}"/>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1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5402177130540282"/>
          <c:y val="0.15180447239802955"/>
          <c:w val="0.8121868632235667"/>
          <c:h val="0.73373463935573302"/>
        </c:manualLayout>
      </c:layout>
      <c:lineChart>
        <c:grouping val="stacked"/>
        <c:varyColors val="0"/>
        <c:ser>
          <c:idx val="0"/>
          <c:order val="0"/>
          <c:tx>
            <c:strRef>
              <c:f>'Estratégias Mini Dólar'!$D$71:$F$71</c:f>
              <c:strCache>
                <c:ptCount val="1"/>
                <c:pt idx="0">
                  <c:v>Oscilante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Dólar'!$P$70:$P$80</c:f>
              <c:numCache>
                <c:formatCode>0.0</c:formatCode>
                <c:ptCount val="11"/>
                <c:pt idx="1">
                  <c:v>2.5</c:v>
                </c:pt>
                <c:pt idx="2">
                  <c:v>6</c:v>
                </c:pt>
                <c:pt idx="3">
                  <c:v>10</c:v>
                </c:pt>
                <c:pt idx="4">
                  <c:v>18</c:v>
                </c:pt>
                <c:pt idx="5">
                  <c:v>28</c:v>
                </c:pt>
                <c:pt idx="6">
                  <c:v>41</c:v>
                </c:pt>
                <c:pt idx="7">
                  <c:v>48.5</c:v>
                </c:pt>
                <c:pt idx="8">
                  <c:v>53.5</c:v>
                </c:pt>
                <c:pt idx="9">
                  <c:v>56.5</c:v>
                </c:pt>
                <c:pt idx="10">
                  <c:v>58</c:v>
                </c:pt>
              </c:numCache>
            </c:numRef>
          </c:val>
          <c:smooth val="0"/>
          <c:extLst>
            <c:ext xmlns:c16="http://schemas.microsoft.com/office/drawing/2014/chart" uri="{C3380CC4-5D6E-409C-BE32-E72D297353CC}">
              <c16:uniqueId val="{00000000-FA9B-4A8F-94B0-3F37ACA0E266}"/>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1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3609803282781142"/>
          <c:y val="5.3817755282615258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095477681903182"/>
          <c:y val="0.1490351023331104"/>
          <c:w val="0.8121868632235667"/>
          <c:h val="0.73650374098322346"/>
        </c:manualLayout>
      </c:layout>
      <c:lineChart>
        <c:grouping val="stacked"/>
        <c:varyColors val="0"/>
        <c:ser>
          <c:idx val="0"/>
          <c:order val="0"/>
          <c:tx>
            <c:strRef>
              <c:f>'Estratégias Mini Dólar'!$D$82:$F$82</c:f>
              <c:strCache>
                <c:ptCount val="1"/>
                <c:pt idx="0">
                  <c:v>Oscilante 2</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Dólar'!$P$82:$P$90</c:f>
              <c:numCache>
                <c:formatCode>0</c:formatCode>
                <c:ptCount val="9"/>
                <c:pt idx="0">
                  <c:v>0</c:v>
                </c:pt>
                <c:pt idx="1">
                  <c:v>14</c:v>
                </c:pt>
                <c:pt idx="2">
                  <c:v>21</c:v>
                </c:pt>
                <c:pt idx="3">
                  <c:v>25</c:v>
                </c:pt>
                <c:pt idx="4">
                  <c:v>29</c:v>
                </c:pt>
                <c:pt idx="5">
                  <c:v>33</c:v>
                </c:pt>
                <c:pt idx="6">
                  <c:v>38</c:v>
                </c:pt>
                <c:pt idx="7">
                  <c:v>46</c:v>
                </c:pt>
                <c:pt idx="8">
                  <c:v>55</c:v>
                </c:pt>
              </c:numCache>
            </c:numRef>
          </c:val>
          <c:smooth val="0"/>
          <c:extLst>
            <c:ext xmlns:c16="http://schemas.microsoft.com/office/drawing/2014/chart" uri="{C3380CC4-5D6E-409C-BE32-E72D297353CC}">
              <c16:uniqueId val="{00000000-0C55-41C0-86AD-B5C8611137BF}"/>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1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7700375147496248"/>
          <c:y val="2.128602806906394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095477681903182"/>
          <c:y val="0.19640358017949625"/>
          <c:w val="0.8121868632235667"/>
          <c:h val="0.68913542603445788"/>
        </c:manualLayout>
      </c:layout>
      <c:lineChart>
        <c:grouping val="stacked"/>
        <c:varyColors val="0"/>
        <c:ser>
          <c:idx val="0"/>
          <c:order val="0"/>
          <c:tx>
            <c:strRef>
              <c:f>'Estratégias Mini Dólar'!$D$27:$F$27</c:f>
              <c:strCache>
                <c:ptCount val="1"/>
                <c:pt idx="0">
                  <c:v>Progressivo alto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Dólar'!$P$28:$P$37</c:f>
              <c:numCache>
                <c:formatCode>0</c:formatCode>
                <c:ptCount val="10"/>
                <c:pt idx="0">
                  <c:v>0</c:v>
                </c:pt>
                <c:pt idx="1">
                  <c:v>6</c:v>
                </c:pt>
                <c:pt idx="2">
                  <c:v>11</c:v>
                </c:pt>
                <c:pt idx="3">
                  <c:v>16</c:v>
                </c:pt>
                <c:pt idx="4">
                  <c:v>21.5</c:v>
                </c:pt>
                <c:pt idx="5">
                  <c:v>27</c:v>
                </c:pt>
                <c:pt idx="6">
                  <c:v>36</c:v>
                </c:pt>
                <c:pt idx="7">
                  <c:v>48</c:v>
                </c:pt>
                <c:pt idx="8">
                  <c:v>54</c:v>
                </c:pt>
                <c:pt idx="9">
                  <c:v>57.5</c:v>
                </c:pt>
              </c:numCache>
            </c:numRef>
          </c:val>
          <c:smooth val="0"/>
          <c:extLst>
            <c:ext xmlns:c16="http://schemas.microsoft.com/office/drawing/2014/chart" uri="{C3380CC4-5D6E-409C-BE32-E72D297353CC}">
              <c16:uniqueId val="{00000000-F759-4CD5-A6E7-E056AC6FB777}"/>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1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4573319211356925"/>
          <c:y val="2.71370188681341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095477681903182"/>
          <c:y val="0.19640358017949625"/>
          <c:w val="0.8121868632235667"/>
          <c:h val="0.68913542603445788"/>
        </c:manualLayout>
      </c:layout>
      <c:lineChart>
        <c:grouping val="stacked"/>
        <c:varyColors val="0"/>
        <c:ser>
          <c:idx val="0"/>
          <c:order val="0"/>
          <c:tx>
            <c:strRef>
              <c:f>'Estratégias Mini Dólar'!$D$38:$F$38</c:f>
              <c:strCache>
                <c:ptCount val="1"/>
                <c:pt idx="0">
                  <c:v>Progressivo não linear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Dólar'!$O$39:$O$47</c:f>
              <c:numCache>
                <c:formatCode>0</c:formatCode>
                <c:ptCount val="9"/>
                <c:pt idx="1">
                  <c:v>5.5</c:v>
                </c:pt>
                <c:pt idx="2">
                  <c:v>10</c:v>
                </c:pt>
                <c:pt idx="3">
                  <c:v>15</c:v>
                </c:pt>
                <c:pt idx="4">
                  <c:v>20.5</c:v>
                </c:pt>
                <c:pt idx="5">
                  <c:v>25</c:v>
                </c:pt>
                <c:pt idx="6">
                  <c:v>30</c:v>
                </c:pt>
                <c:pt idx="7">
                  <c:v>41.5</c:v>
                </c:pt>
                <c:pt idx="8">
                  <c:v>54</c:v>
                </c:pt>
              </c:numCache>
            </c:numRef>
          </c:val>
          <c:smooth val="0"/>
          <c:extLst>
            <c:ext xmlns:c16="http://schemas.microsoft.com/office/drawing/2014/chart" uri="{C3380CC4-5D6E-409C-BE32-E72D297353CC}">
              <c16:uniqueId val="{00000000-63A0-456E-B9A5-325912075AF3}"/>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1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524906568458026"/>
          <c:y val="0.14886932463396868"/>
          <c:w val="0.8121868632235667"/>
          <c:h val="0.73191626811629462"/>
        </c:manualLayout>
      </c:layout>
      <c:lineChart>
        <c:grouping val="stacked"/>
        <c:varyColors val="0"/>
        <c:ser>
          <c:idx val="0"/>
          <c:order val="0"/>
          <c:tx>
            <c:strRef>
              <c:f>'Estratégias Mini Dólar'!$D$49:$F$49</c:f>
              <c:strCache>
                <c:ptCount val="1"/>
                <c:pt idx="0">
                  <c:v>Progressivo não linear 2</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Dólar'!$P$50:$P$57</c:f>
              <c:numCache>
                <c:formatCode>General</c:formatCode>
                <c:ptCount val="8"/>
                <c:pt idx="0">
                  <c:v>0</c:v>
                </c:pt>
                <c:pt idx="1">
                  <c:v>6</c:v>
                </c:pt>
                <c:pt idx="2">
                  <c:v>11.5</c:v>
                </c:pt>
                <c:pt idx="3">
                  <c:v>17</c:v>
                </c:pt>
                <c:pt idx="4">
                  <c:v>22</c:v>
                </c:pt>
                <c:pt idx="5">
                  <c:v>32</c:v>
                </c:pt>
                <c:pt idx="6">
                  <c:v>43</c:v>
                </c:pt>
                <c:pt idx="7">
                  <c:v>54.5</c:v>
                </c:pt>
              </c:numCache>
            </c:numRef>
          </c:val>
          <c:smooth val="0"/>
          <c:extLst>
            <c:ext xmlns:c16="http://schemas.microsoft.com/office/drawing/2014/chart" uri="{C3380CC4-5D6E-409C-BE32-E72D297353CC}">
              <c16:uniqueId val="{00000000-9932-4E4D-A950-FA349017DFC3}"/>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1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Regressivo 2</a:t>
            </a:r>
          </a:p>
        </c:rich>
      </c:tx>
      <c:layout>
        <c:manualLayout>
          <c:xMode val="edge"/>
          <c:yMode val="edge"/>
          <c:x val="0.31003883247858754"/>
          <c:y val="5.3841713749768741E-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3616445848460562"/>
          <c:y val="0.12221200921313408"/>
          <c:w val="0.8121868632235667"/>
          <c:h val="0.75879757887406929"/>
        </c:manualLayout>
      </c:layout>
      <c:lineChart>
        <c:grouping val="stacked"/>
        <c:varyColors val="0"/>
        <c:ser>
          <c:idx val="0"/>
          <c:order val="0"/>
          <c:tx>
            <c:strRef>
              <c:f>'Estratégias Mini Índice'!$D$93:$F$93</c:f>
              <c:strCache>
                <c:ptCount val="1"/>
                <c:pt idx="0">
                  <c:v>Regressivo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Índice'!$P$103:$P$113</c:f>
              <c:numCache>
                <c:formatCode>0</c:formatCode>
                <c:ptCount val="11"/>
                <c:pt idx="0" formatCode="General">
                  <c:v>0</c:v>
                </c:pt>
                <c:pt idx="1">
                  <c:v>255</c:v>
                </c:pt>
                <c:pt idx="2">
                  <c:v>495</c:v>
                </c:pt>
                <c:pt idx="3">
                  <c:v>720</c:v>
                </c:pt>
                <c:pt idx="4">
                  <c:v>915</c:v>
                </c:pt>
                <c:pt idx="5">
                  <c:v>1035</c:v>
                </c:pt>
                <c:pt idx="6">
                  <c:v>1140</c:v>
                </c:pt>
                <c:pt idx="7">
                  <c:v>1230</c:v>
                </c:pt>
                <c:pt idx="8">
                  <c:v>1305</c:v>
                </c:pt>
                <c:pt idx="9">
                  <c:v>1395</c:v>
                </c:pt>
                <c:pt idx="10">
                  <c:v>1470</c:v>
                </c:pt>
              </c:numCache>
            </c:numRef>
          </c:val>
          <c:smooth val="0"/>
          <c:extLst>
            <c:ext xmlns:c16="http://schemas.microsoft.com/office/drawing/2014/chart" uri="{C3380CC4-5D6E-409C-BE32-E72D297353CC}">
              <c16:uniqueId val="{00000000-9490-43DB-974A-E38BF96183EE}"/>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20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95477681903182"/>
          <c:y val="7.4051866630760951E-2"/>
          <c:w val="0.8121868632235667"/>
          <c:h val="0.81148719849636408"/>
        </c:manualLayout>
      </c:layout>
      <c:lineChart>
        <c:grouping val="standard"/>
        <c:varyColors val="0"/>
        <c:ser>
          <c:idx val="0"/>
          <c:order val="0"/>
          <c:tx>
            <c:strRef>
              <c:f>'Take Profit Mini Dólar)'!$F$5</c:f>
              <c:strCache>
                <c:ptCount val="1"/>
                <c:pt idx="0">
                  <c:v>3 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'Take Profit Mini Dólar)'!$F$6:$F$9</c:f>
              <c:numCache>
                <c:formatCode>0.0</c:formatCode>
                <c:ptCount val="4"/>
                <c:pt idx="0">
                  <c:v>15</c:v>
                </c:pt>
                <c:pt idx="1">
                  <c:v>9</c:v>
                </c:pt>
                <c:pt idx="2">
                  <c:v>4</c:v>
                </c:pt>
                <c:pt idx="3">
                  <c:v>0.5</c:v>
                </c:pt>
              </c:numCache>
            </c:numRef>
          </c:val>
          <c:smooth val="0"/>
          <c:extLst>
            <c:ext xmlns:c16="http://schemas.microsoft.com/office/drawing/2014/chart" uri="{C3380CC4-5D6E-409C-BE32-E72D297353CC}">
              <c16:uniqueId val="{00000000-370F-45EB-A62F-1D0036BDAFE0}"/>
            </c:ext>
          </c:extLst>
        </c:ser>
        <c:ser>
          <c:idx val="1"/>
          <c:order val="1"/>
          <c:tx>
            <c:strRef>
              <c:f>'Take Profit Mini Dólar)'!$G$5</c:f>
              <c:strCache>
                <c:ptCount val="1"/>
                <c:pt idx="0">
                  <c:v>4 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'Take Profit Mini Dólar)'!$G$6:$G$10</c:f>
              <c:numCache>
                <c:formatCode>0.0</c:formatCode>
                <c:ptCount val="5"/>
                <c:pt idx="0">
                  <c:v>15</c:v>
                </c:pt>
                <c:pt idx="1">
                  <c:v>10</c:v>
                </c:pt>
                <c:pt idx="2">
                  <c:v>5.5</c:v>
                </c:pt>
                <c:pt idx="3">
                  <c:v>2.5</c:v>
                </c:pt>
                <c:pt idx="4">
                  <c:v>0.5</c:v>
                </c:pt>
              </c:numCache>
            </c:numRef>
          </c:val>
          <c:smooth val="0"/>
          <c:extLst>
            <c:ext xmlns:c16="http://schemas.microsoft.com/office/drawing/2014/chart" uri="{C3380CC4-5D6E-409C-BE32-E72D297353CC}">
              <c16:uniqueId val="{00000001-370F-45EB-A62F-1D0036BDAFE0}"/>
            </c:ext>
          </c:extLst>
        </c:ser>
        <c:ser>
          <c:idx val="2"/>
          <c:order val="2"/>
          <c:tx>
            <c:strRef>
              <c:f>'Take Profit Mini Dólar)'!$H$5</c:f>
              <c:strCache>
                <c:ptCount val="1"/>
                <c:pt idx="0">
                  <c:v>5 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'Take Profit Mini Dólar)'!$H$6:$H$11</c:f>
              <c:numCache>
                <c:formatCode>0.0</c:formatCode>
                <c:ptCount val="6"/>
                <c:pt idx="0">
                  <c:v>15</c:v>
                </c:pt>
                <c:pt idx="1">
                  <c:v>10.5</c:v>
                </c:pt>
                <c:pt idx="2">
                  <c:v>7</c:v>
                </c:pt>
                <c:pt idx="3">
                  <c:v>4</c:v>
                </c:pt>
                <c:pt idx="4">
                  <c:v>2</c:v>
                </c:pt>
                <c:pt idx="5">
                  <c:v>0.5</c:v>
                </c:pt>
              </c:numCache>
            </c:numRef>
          </c:val>
          <c:smooth val="0"/>
          <c:extLst>
            <c:ext xmlns:c16="http://schemas.microsoft.com/office/drawing/2014/chart" uri="{C3380CC4-5D6E-409C-BE32-E72D297353CC}">
              <c16:uniqueId val="{00000002-370F-45EB-A62F-1D0036BDAFE0}"/>
            </c:ext>
          </c:extLst>
        </c:ser>
        <c:ser>
          <c:idx val="3"/>
          <c:order val="3"/>
          <c:tx>
            <c:strRef>
              <c:f>'Take Profit Mini Dólar)'!$E$5</c:f>
              <c:strCache>
                <c:ptCount val="1"/>
                <c:pt idx="0">
                  <c:v>2 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'Take Profit Mini Dólar)'!$E$6:$E$8</c:f>
              <c:numCache>
                <c:formatCode>0.0</c:formatCode>
                <c:ptCount val="3"/>
                <c:pt idx="0">
                  <c:v>15</c:v>
                </c:pt>
                <c:pt idx="1">
                  <c:v>7.5</c:v>
                </c:pt>
                <c:pt idx="2">
                  <c:v>0.5</c:v>
                </c:pt>
              </c:numCache>
            </c:numRef>
          </c:val>
          <c:smooth val="0"/>
          <c:extLst>
            <c:ext xmlns:c16="http://schemas.microsoft.com/office/drawing/2014/chart" uri="{C3380CC4-5D6E-409C-BE32-E72D297353CC}">
              <c16:uniqueId val="{00000003-370F-45EB-A62F-1D0036BDAFE0}"/>
            </c:ext>
          </c:extLst>
        </c:ser>
        <c:ser>
          <c:idx val="4"/>
          <c:order val="4"/>
          <c:tx>
            <c:strRef>
              <c:f>'Take Profit Mini Dólar)'!$D$5</c:f>
              <c:strCache>
                <c:ptCount val="1"/>
                <c:pt idx="0">
                  <c:v>1 A.</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'Take Profit Mini Dólar)'!$D$6:$D$7</c:f>
              <c:numCache>
                <c:formatCode>0.0</c:formatCode>
                <c:ptCount val="2"/>
                <c:pt idx="0">
                  <c:v>15</c:v>
                </c:pt>
                <c:pt idx="1">
                  <c:v>0.5</c:v>
                </c:pt>
              </c:numCache>
            </c:numRef>
          </c:val>
          <c:smooth val="0"/>
          <c:extLst>
            <c:ext xmlns:c16="http://schemas.microsoft.com/office/drawing/2014/chart" uri="{C3380CC4-5D6E-409C-BE32-E72D297353CC}">
              <c16:uniqueId val="{00000004-370F-45EB-A62F-1D0036BDAFE0}"/>
            </c:ext>
          </c:extLst>
        </c:ser>
        <c:ser>
          <c:idx val="5"/>
          <c:order val="5"/>
          <c:tx>
            <c:strRef>
              <c:f>'Take Profit Mini Dólar)'!$I$5</c:f>
              <c:strCache>
                <c:ptCount val="1"/>
                <c:pt idx="0">
                  <c:v>6 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'Take Profit Mini Dólar)'!$I$6:$I$12</c:f>
              <c:numCache>
                <c:formatCode>0.0</c:formatCode>
                <c:ptCount val="7"/>
                <c:pt idx="0">
                  <c:v>15</c:v>
                </c:pt>
                <c:pt idx="1">
                  <c:v>11</c:v>
                </c:pt>
                <c:pt idx="2">
                  <c:v>7.5</c:v>
                </c:pt>
                <c:pt idx="3">
                  <c:v>5</c:v>
                </c:pt>
                <c:pt idx="4">
                  <c:v>3</c:v>
                </c:pt>
                <c:pt idx="5">
                  <c:v>1.5</c:v>
                </c:pt>
                <c:pt idx="6">
                  <c:v>0.5</c:v>
                </c:pt>
              </c:numCache>
            </c:numRef>
          </c:val>
          <c:smooth val="0"/>
          <c:extLst>
            <c:ext xmlns:c16="http://schemas.microsoft.com/office/drawing/2014/chart" uri="{C3380CC4-5D6E-409C-BE32-E72D297353CC}">
              <c16:uniqueId val="{00000005-370F-45EB-A62F-1D0036BDAFE0}"/>
            </c:ext>
          </c:extLst>
        </c:ser>
        <c:ser>
          <c:idx val="6"/>
          <c:order val="6"/>
          <c:tx>
            <c:strRef>
              <c:f>'Take Profit Mini Dólar)'!$J$5</c:f>
              <c:strCache>
                <c:ptCount val="1"/>
                <c:pt idx="0">
                  <c:v>7 A.</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'Take Profit Mini Dólar)'!$J$6:$J$13</c:f>
              <c:numCache>
                <c:formatCode>0.0</c:formatCode>
                <c:ptCount val="8"/>
                <c:pt idx="0">
                  <c:v>15</c:v>
                </c:pt>
                <c:pt idx="1">
                  <c:v>11.5</c:v>
                </c:pt>
                <c:pt idx="2">
                  <c:v>8.5</c:v>
                </c:pt>
                <c:pt idx="3">
                  <c:v>6</c:v>
                </c:pt>
                <c:pt idx="4">
                  <c:v>4</c:v>
                </c:pt>
                <c:pt idx="5">
                  <c:v>2.5</c:v>
                </c:pt>
                <c:pt idx="6">
                  <c:v>1.5</c:v>
                </c:pt>
                <c:pt idx="7">
                  <c:v>0.5</c:v>
                </c:pt>
              </c:numCache>
            </c:numRef>
          </c:val>
          <c:smooth val="0"/>
          <c:extLst>
            <c:ext xmlns:c16="http://schemas.microsoft.com/office/drawing/2014/chart" uri="{C3380CC4-5D6E-409C-BE32-E72D297353CC}">
              <c16:uniqueId val="{00000006-370F-45EB-A62F-1D0036BDAFE0}"/>
            </c:ext>
          </c:extLst>
        </c:ser>
        <c:ser>
          <c:idx val="7"/>
          <c:order val="7"/>
          <c:tx>
            <c:strRef>
              <c:f>'Take Profit Mini Dólar)'!$K$5</c:f>
              <c:strCache>
                <c:ptCount val="1"/>
                <c:pt idx="0">
                  <c:v>8 A.</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val>
            <c:numRef>
              <c:f>'Take Profit Mini Dólar)'!$K$6:$K$14</c:f>
              <c:numCache>
                <c:formatCode>0.0</c:formatCode>
                <c:ptCount val="9"/>
                <c:pt idx="0">
                  <c:v>15</c:v>
                </c:pt>
                <c:pt idx="1">
                  <c:v>11.5</c:v>
                </c:pt>
                <c:pt idx="2">
                  <c:v>9</c:v>
                </c:pt>
                <c:pt idx="3">
                  <c:v>6.5</c:v>
                </c:pt>
                <c:pt idx="4">
                  <c:v>4.5</c:v>
                </c:pt>
                <c:pt idx="5">
                  <c:v>3</c:v>
                </c:pt>
                <c:pt idx="6">
                  <c:v>2</c:v>
                </c:pt>
                <c:pt idx="7">
                  <c:v>1</c:v>
                </c:pt>
                <c:pt idx="8">
                  <c:v>0.5</c:v>
                </c:pt>
              </c:numCache>
            </c:numRef>
          </c:val>
          <c:smooth val="0"/>
          <c:extLst>
            <c:ext xmlns:c16="http://schemas.microsoft.com/office/drawing/2014/chart" uri="{C3380CC4-5D6E-409C-BE32-E72D297353CC}">
              <c16:uniqueId val="{00000007-370F-45EB-A62F-1D0036BDAFE0}"/>
            </c:ext>
          </c:extLst>
        </c:ser>
        <c:ser>
          <c:idx val="8"/>
          <c:order val="8"/>
          <c:tx>
            <c:strRef>
              <c:f>'Take Profit Mini Dólar)'!$L$5</c:f>
              <c:strCache>
                <c:ptCount val="1"/>
                <c:pt idx="0">
                  <c:v>9 A.</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val>
            <c:numRef>
              <c:f>'Take Profit Mini Dólar)'!$L$6:$L$15</c:f>
              <c:numCache>
                <c:formatCode>0.0</c:formatCode>
                <c:ptCount val="10"/>
                <c:pt idx="0">
                  <c:v>15</c:v>
                </c:pt>
                <c:pt idx="1">
                  <c:v>12</c:v>
                </c:pt>
                <c:pt idx="2">
                  <c:v>9.5</c:v>
                </c:pt>
                <c:pt idx="3">
                  <c:v>7</c:v>
                </c:pt>
                <c:pt idx="4">
                  <c:v>5.5</c:v>
                </c:pt>
                <c:pt idx="5">
                  <c:v>4</c:v>
                </c:pt>
                <c:pt idx="6">
                  <c:v>2.5</c:v>
                </c:pt>
                <c:pt idx="7">
                  <c:v>2</c:v>
                </c:pt>
                <c:pt idx="8">
                  <c:v>1</c:v>
                </c:pt>
                <c:pt idx="9">
                  <c:v>0.5</c:v>
                </c:pt>
              </c:numCache>
            </c:numRef>
          </c:val>
          <c:smooth val="0"/>
          <c:extLst>
            <c:ext xmlns:c16="http://schemas.microsoft.com/office/drawing/2014/chart" uri="{C3380CC4-5D6E-409C-BE32-E72D297353CC}">
              <c16:uniqueId val="{00000008-370F-45EB-A62F-1D0036BDAFE0}"/>
            </c:ext>
          </c:extLst>
        </c:ser>
        <c:ser>
          <c:idx val="9"/>
          <c:order val="9"/>
          <c:tx>
            <c:strRef>
              <c:f>'Take Profit Mini Dólar)'!$M$5</c:f>
              <c:strCache>
                <c:ptCount val="1"/>
                <c:pt idx="0">
                  <c:v>10 A.</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val>
            <c:numRef>
              <c:f>'Take Profit Mini Dólar)'!$M$6:$M$16</c:f>
              <c:numCache>
                <c:formatCode>0.0</c:formatCode>
                <c:ptCount val="11"/>
                <c:pt idx="0">
                  <c:v>15</c:v>
                </c:pt>
                <c:pt idx="1">
                  <c:v>12.5</c:v>
                </c:pt>
                <c:pt idx="2">
                  <c:v>10</c:v>
                </c:pt>
                <c:pt idx="3">
                  <c:v>8</c:v>
                </c:pt>
                <c:pt idx="4">
                  <c:v>6</c:v>
                </c:pt>
                <c:pt idx="5">
                  <c:v>4.5</c:v>
                </c:pt>
                <c:pt idx="6">
                  <c:v>3.5</c:v>
                </c:pt>
                <c:pt idx="7">
                  <c:v>2.5</c:v>
                </c:pt>
                <c:pt idx="8">
                  <c:v>2</c:v>
                </c:pt>
                <c:pt idx="9">
                  <c:v>1</c:v>
                </c:pt>
                <c:pt idx="10">
                  <c:v>0.5</c:v>
                </c:pt>
              </c:numCache>
            </c:numRef>
          </c:val>
          <c:smooth val="0"/>
          <c:extLst>
            <c:ext xmlns:c16="http://schemas.microsoft.com/office/drawing/2014/chart" uri="{C3380CC4-5D6E-409C-BE32-E72D297353CC}">
              <c16:uniqueId val="{00000009-370F-45EB-A62F-1D0036BDAFE0}"/>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1"/>
        <c:axPos val="b"/>
        <c:majorTickMark val="none"/>
        <c:minorTickMark val="none"/>
        <c:tickLblPos val="nextTo"/>
        <c:crossAx val="46161455"/>
        <c:crosses val="autoZero"/>
        <c:auto val="0"/>
        <c:lblAlgn val="ctr"/>
        <c:lblOffset val="100"/>
        <c:tickLblSkip val="1"/>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inorUnit val="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95477681903182"/>
          <c:y val="7.4051866630760951E-2"/>
          <c:w val="0.8121868632235667"/>
          <c:h val="0.81148719849636408"/>
        </c:manualLayout>
      </c:layout>
      <c:lineChart>
        <c:grouping val="standard"/>
        <c:varyColors val="0"/>
        <c:ser>
          <c:idx val="0"/>
          <c:order val="0"/>
          <c:tx>
            <c:strRef>
              <c:f>'Take Profit Mini Dólar)'!$F$5</c:f>
              <c:strCache>
                <c:ptCount val="1"/>
                <c:pt idx="0">
                  <c:v>3 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'Take Profit Mini Dólar)'!$F$19:$F$22</c:f>
              <c:numCache>
                <c:formatCode>0.0</c:formatCode>
                <c:ptCount val="4"/>
                <c:pt idx="0">
                  <c:v>12</c:v>
                </c:pt>
                <c:pt idx="1">
                  <c:v>7</c:v>
                </c:pt>
                <c:pt idx="2">
                  <c:v>3</c:v>
                </c:pt>
                <c:pt idx="3">
                  <c:v>0.5</c:v>
                </c:pt>
              </c:numCache>
            </c:numRef>
          </c:val>
          <c:smooth val="0"/>
          <c:extLst>
            <c:ext xmlns:c16="http://schemas.microsoft.com/office/drawing/2014/chart" uri="{C3380CC4-5D6E-409C-BE32-E72D297353CC}">
              <c16:uniqueId val="{00000000-0C2B-428A-815B-59389BAA0E60}"/>
            </c:ext>
          </c:extLst>
        </c:ser>
        <c:ser>
          <c:idx val="1"/>
          <c:order val="1"/>
          <c:tx>
            <c:strRef>
              <c:f>'Take Profit Mini Dólar)'!$G$5</c:f>
              <c:strCache>
                <c:ptCount val="1"/>
                <c:pt idx="0">
                  <c:v>4 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'Take Profit Mini Dólar)'!$G$19:$G$23</c:f>
              <c:numCache>
                <c:formatCode>0.0</c:formatCode>
                <c:ptCount val="5"/>
                <c:pt idx="0">
                  <c:v>12</c:v>
                </c:pt>
                <c:pt idx="1">
                  <c:v>8.5</c:v>
                </c:pt>
                <c:pt idx="2">
                  <c:v>5</c:v>
                </c:pt>
                <c:pt idx="3">
                  <c:v>2.5</c:v>
                </c:pt>
                <c:pt idx="4">
                  <c:v>0.5</c:v>
                </c:pt>
              </c:numCache>
            </c:numRef>
          </c:val>
          <c:smooth val="0"/>
          <c:extLst>
            <c:ext xmlns:c16="http://schemas.microsoft.com/office/drawing/2014/chart" uri="{C3380CC4-5D6E-409C-BE32-E72D297353CC}">
              <c16:uniqueId val="{00000001-0C2B-428A-815B-59389BAA0E60}"/>
            </c:ext>
          </c:extLst>
        </c:ser>
        <c:ser>
          <c:idx val="2"/>
          <c:order val="2"/>
          <c:tx>
            <c:strRef>
              <c:f>'Take Profit Mini Dólar)'!$H$5</c:f>
              <c:strCache>
                <c:ptCount val="1"/>
                <c:pt idx="0">
                  <c:v>5 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'Take Profit Mini Dólar)'!$H$19:$H$24</c:f>
              <c:numCache>
                <c:formatCode>0.0</c:formatCode>
                <c:ptCount val="6"/>
                <c:pt idx="0">
                  <c:v>12</c:v>
                </c:pt>
                <c:pt idx="1">
                  <c:v>9</c:v>
                </c:pt>
                <c:pt idx="2">
                  <c:v>5.5</c:v>
                </c:pt>
                <c:pt idx="3">
                  <c:v>3.5</c:v>
                </c:pt>
                <c:pt idx="4">
                  <c:v>1.5</c:v>
                </c:pt>
                <c:pt idx="5">
                  <c:v>0.5</c:v>
                </c:pt>
              </c:numCache>
            </c:numRef>
          </c:val>
          <c:smooth val="0"/>
          <c:extLst>
            <c:ext xmlns:c16="http://schemas.microsoft.com/office/drawing/2014/chart" uri="{C3380CC4-5D6E-409C-BE32-E72D297353CC}">
              <c16:uniqueId val="{00000002-0C2B-428A-815B-59389BAA0E60}"/>
            </c:ext>
          </c:extLst>
        </c:ser>
        <c:ser>
          <c:idx val="3"/>
          <c:order val="3"/>
          <c:tx>
            <c:strRef>
              <c:f>'Take Profit Mini Dólar)'!$E$5</c:f>
              <c:strCache>
                <c:ptCount val="1"/>
                <c:pt idx="0">
                  <c:v>2 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'Take Profit Mini Dólar)'!$E$19:$E$21</c:f>
              <c:numCache>
                <c:formatCode>0.0</c:formatCode>
                <c:ptCount val="3"/>
                <c:pt idx="0">
                  <c:v>12</c:v>
                </c:pt>
                <c:pt idx="1">
                  <c:v>6</c:v>
                </c:pt>
                <c:pt idx="2">
                  <c:v>0.5</c:v>
                </c:pt>
              </c:numCache>
            </c:numRef>
          </c:val>
          <c:smooth val="0"/>
          <c:extLst>
            <c:ext xmlns:c16="http://schemas.microsoft.com/office/drawing/2014/chart" uri="{C3380CC4-5D6E-409C-BE32-E72D297353CC}">
              <c16:uniqueId val="{00000003-0C2B-428A-815B-59389BAA0E60}"/>
            </c:ext>
          </c:extLst>
        </c:ser>
        <c:ser>
          <c:idx val="4"/>
          <c:order val="4"/>
          <c:tx>
            <c:strRef>
              <c:f>'Take Profit Mini Dólar)'!$D$5</c:f>
              <c:strCache>
                <c:ptCount val="1"/>
                <c:pt idx="0">
                  <c:v>1 A.</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'Take Profit Mini Dólar)'!$D$19:$D$20</c:f>
              <c:numCache>
                <c:formatCode>0.0</c:formatCode>
                <c:ptCount val="2"/>
                <c:pt idx="0">
                  <c:v>12</c:v>
                </c:pt>
                <c:pt idx="1">
                  <c:v>0.5</c:v>
                </c:pt>
              </c:numCache>
            </c:numRef>
          </c:val>
          <c:smooth val="0"/>
          <c:extLst>
            <c:ext xmlns:c16="http://schemas.microsoft.com/office/drawing/2014/chart" uri="{C3380CC4-5D6E-409C-BE32-E72D297353CC}">
              <c16:uniqueId val="{00000004-0C2B-428A-815B-59389BAA0E60}"/>
            </c:ext>
          </c:extLst>
        </c:ser>
        <c:ser>
          <c:idx val="5"/>
          <c:order val="5"/>
          <c:tx>
            <c:strRef>
              <c:f>'Take Profit Mini Dólar)'!$I$5</c:f>
              <c:strCache>
                <c:ptCount val="1"/>
                <c:pt idx="0">
                  <c:v>6 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'Take Profit Mini Dólar)'!$I$19:$I$25</c:f>
              <c:numCache>
                <c:formatCode>0.0</c:formatCode>
                <c:ptCount val="7"/>
                <c:pt idx="0">
                  <c:v>12</c:v>
                </c:pt>
                <c:pt idx="1">
                  <c:v>9.5</c:v>
                </c:pt>
                <c:pt idx="2">
                  <c:v>7</c:v>
                </c:pt>
                <c:pt idx="3">
                  <c:v>4.5</c:v>
                </c:pt>
                <c:pt idx="4">
                  <c:v>2.5</c:v>
                </c:pt>
                <c:pt idx="5">
                  <c:v>1.5</c:v>
                </c:pt>
                <c:pt idx="6">
                  <c:v>0.5</c:v>
                </c:pt>
              </c:numCache>
            </c:numRef>
          </c:val>
          <c:smooth val="0"/>
          <c:extLst>
            <c:ext xmlns:c16="http://schemas.microsoft.com/office/drawing/2014/chart" uri="{C3380CC4-5D6E-409C-BE32-E72D297353CC}">
              <c16:uniqueId val="{00000005-0C2B-428A-815B-59389BAA0E60}"/>
            </c:ext>
          </c:extLst>
        </c:ser>
        <c:ser>
          <c:idx val="6"/>
          <c:order val="6"/>
          <c:tx>
            <c:strRef>
              <c:f>'Take Profit Mini Dólar)'!$J$5</c:f>
              <c:strCache>
                <c:ptCount val="1"/>
                <c:pt idx="0">
                  <c:v>7 A.</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'Take Profit Mini Dólar)'!$J$19:$J$26</c:f>
              <c:numCache>
                <c:formatCode>0.0</c:formatCode>
                <c:ptCount val="8"/>
                <c:pt idx="0">
                  <c:v>12</c:v>
                </c:pt>
                <c:pt idx="1">
                  <c:v>9.5</c:v>
                </c:pt>
                <c:pt idx="2">
                  <c:v>7.5</c:v>
                </c:pt>
                <c:pt idx="3">
                  <c:v>5.5</c:v>
                </c:pt>
                <c:pt idx="4">
                  <c:v>4</c:v>
                </c:pt>
                <c:pt idx="5">
                  <c:v>2.5</c:v>
                </c:pt>
                <c:pt idx="6">
                  <c:v>1</c:v>
                </c:pt>
                <c:pt idx="7">
                  <c:v>0.5</c:v>
                </c:pt>
              </c:numCache>
            </c:numRef>
          </c:val>
          <c:smooth val="0"/>
          <c:extLst>
            <c:ext xmlns:c16="http://schemas.microsoft.com/office/drawing/2014/chart" uri="{C3380CC4-5D6E-409C-BE32-E72D297353CC}">
              <c16:uniqueId val="{00000006-0C2B-428A-815B-59389BAA0E60}"/>
            </c:ext>
          </c:extLst>
        </c:ser>
        <c:ser>
          <c:idx val="7"/>
          <c:order val="7"/>
          <c:tx>
            <c:strRef>
              <c:f>'Take Profit Mini Dólar)'!$K$5</c:f>
              <c:strCache>
                <c:ptCount val="1"/>
                <c:pt idx="0">
                  <c:v>8 A.</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val>
            <c:numRef>
              <c:f>'Take Profit Mini Dólar)'!$K$19:$K$27</c:f>
              <c:numCache>
                <c:formatCode>0.0</c:formatCode>
                <c:ptCount val="9"/>
                <c:pt idx="0">
                  <c:v>12</c:v>
                </c:pt>
                <c:pt idx="1">
                  <c:v>10</c:v>
                </c:pt>
                <c:pt idx="2">
                  <c:v>8.5</c:v>
                </c:pt>
                <c:pt idx="3">
                  <c:v>6</c:v>
                </c:pt>
                <c:pt idx="4">
                  <c:v>4.5</c:v>
                </c:pt>
                <c:pt idx="5">
                  <c:v>3</c:v>
                </c:pt>
                <c:pt idx="6">
                  <c:v>2</c:v>
                </c:pt>
                <c:pt idx="7">
                  <c:v>1</c:v>
                </c:pt>
                <c:pt idx="8">
                  <c:v>0.5</c:v>
                </c:pt>
              </c:numCache>
            </c:numRef>
          </c:val>
          <c:smooth val="0"/>
          <c:extLst>
            <c:ext xmlns:c16="http://schemas.microsoft.com/office/drawing/2014/chart" uri="{C3380CC4-5D6E-409C-BE32-E72D297353CC}">
              <c16:uniqueId val="{00000007-0C2B-428A-815B-59389BAA0E60}"/>
            </c:ext>
          </c:extLst>
        </c:ser>
        <c:ser>
          <c:idx val="8"/>
          <c:order val="8"/>
          <c:tx>
            <c:strRef>
              <c:f>'Take Profit Mini Dólar)'!$L$5</c:f>
              <c:strCache>
                <c:ptCount val="1"/>
                <c:pt idx="0">
                  <c:v>9 A.</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val>
            <c:numRef>
              <c:f>'Take Profit Mini Dólar)'!$L$19:$L$28</c:f>
              <c:numCache>
                <c:formatCode>0.0</c:formatCode>
                <c:ptCount val="10"/>
                <c:pt idx="0">
                  <c:v>12</c:v>
                </c:pt>
                <c:pt idx="1">
                  <c:v>10</c:v>
                </c:pt>
                <c:pt idx="2">
                  <c:v>8.5</c:v>
                </c:pt>
                <c:pt idx="3">
                  <c:v>7</c:v>
                </c:pt>
                <c:pt idx="4">
                  <c:v>5</c:v>
                </c:pt>
                <c:pt idx="5">
                  <c:v>4</c:v>
                </c:pt>
                <c:pt idx="6">
                  <c:v>2.5</c:v>
                </c:pt>
                <c:pt idx="7">
                  <c:v>2</c:v>
                </c:pt>
                <c:pt idx="8">
                  <c:v>1</c:v>
                </c:pt>
                <c:pt idx="9">
                  <c:v>0.5</c:v>
                </c:pt>
              </c:numCache>
            </c:numRef>
          </c:val>
          <c:smooth val="0"/>
          <c:extLst>
            <c:ext xmlns:c16="http://schemas.microsoft.com/office/drawing/2014/chart" uri="{C3380CC4-5D6E-409C-BE32-E72D297353CC}">
              <c16:uniqueId val="{00000008-0C2B-428A-815B-59389BAA0E60}"/>
            </c:ext>
          </c:extLst>
        </c:ser>
        <c:ser>
          <c:idx val="9"/>
          <c:order val="9"/>
          <c:tx>
            <c:strRef>
              <c:f>'Take Profit Mini Dólar)'!$M$5</c:f>
              <c:strCache>
                <c:ptCount val="1"/>
                <c:pt idx="0">
                  <c:v>10 A.</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val>
            <c:numRef>
              <c:f>'Take Profit Mini Dólar)'!$M$19:$M$29</c:f>
              <c:numCache>
                <c:formatCode>0.0</c:formatCode>
                <c:ptCount val="11"/>
                <c:pt idx="0">
                  <c:v>12</c:v>
                </c:pt>
                <c:pt idx="1">
                  <c:v>10</c:v>
                </c:pt>
                <c:pt idx="2">
                  <c:v>8.5</c:v>
                </c:pt>
                <c:pt idx="3">
                  <c:v>7</c:v>
                </c:pt>
                <c:pt idx="4">
                  <c:v>5.5</c:v>
                </c:pt>
                <c:pt idx="5">
                  <c:v>4.5</c:v>
                </c:pt>
                <c:pt idx="6">
                  <c:v>3.5</c:v>
                </c:pt>
                <c:pt idx="7">
                  <c:v>2.5</c:v>
                </c:pt>
                <c:pt idx="8">
                  <c:v>2</c:v>
                </c:pt>
                <c:pt idx="9">
                  <c:v>1</c:v>
                </c:pt>
                <c:pt idx="10">
                  <c:v>0.5</c:v>
                </c:pt>
              </c:numCache>
            </c:numRef>
          </c:val>
          <c:smooth val="0"/>
          <c:extLst>
            <c:ext xmlns:c16="http://schemas.microsoft.com/office/drawing/2014/chart" uri="{C3380CC4-5D6E-409C-BE32-E72D297353CC}">
              <c16:uniqueId val="{00000009-0C2B-428A-815B-59389BAA0E60}"/>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1"/>
        <c:axPos val="b"/>
        <c:majorTickMark val="none"/>
        <c:minorTickMark val="none"/>
        <c:tickLblPos val="nextTo"/>
        <c:crossAx val="46161455"/>
        <c:crosses val="autoZero"/>
        <c:auto val="0"/>
        <c:lblAlgn val="ctr"/>
        <c:lblOffset val="100"/>
        <c:tickLblSkip val="1"/>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inorUnit val="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95477681903182"/>
          <c:y val="7.4051866630760951E-2"/>
          <c:w val="0.8121868632235667"/>
          <c:h val="0.81148719849636408"/>
        </c:manualLayout>
      </c:layout>
      <c:lineChart>
        <c:grouping val="standard"/>
        <c:varyColors val="0"/>
        <c:ser>
          <c:idx val="0"/>
          <c:order val="0"/>
          <c:tx>
            <c:strRef>
              <c:f>'Take Profit Mini Dólar)'!$F$5</c:f>
              <c:strCache>
                <c:ptCount val="1"/>
                <c:pt idx="0">
                  <c:v>3 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'Take Profit Mini Dólar)'!$F$32:$F$35</c:f>
              <c:numCache>
                <c:formatCode>0.0</c:formatCode>
                <c:ptCount val="4"/>
                <c:pt idx="0">
                  <c:v>9</c:v>
                </c:pt>
                <c:pt idx="1">
                  <c:v>5.5</c:v>
                </c:pt>
                <c:pt idx="2">
                  <c:v>2.5</c:v>
                </c:pt>
                <c:pt idx="3">
                  <c:v>0.5</c:v>
                </c:pt>
              </c:numCache>
            </c:numRef>
          </c:val>
          <c:smooth val="0"/>
          <c:extLst>
            <c:ext xmlns:c16="http://schemas.microsoft.com/office/drawing/2014/chart" uri="{C3380CC4-5D6E-409C-BE32-E72D297353CC}">
              <c16:uniqueId val="{00000000-30A3-4B78-82B7-1798C8080038}"/>
            </c:ext>
          </c:extLst>
        </c:ser>
        <c:ser>
          <c:idx val="1"/>
          <c:order val="1"/>
          <c:tx>
            <c:strRef>
              <c:f>'Take Profit Mini Dólar)'!$G$5</c:f>
              <c:strCache>
                <c:ptCount val="1"/>
                <c:pt idx="0">
                  <c:v>4 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'Take Profit Mini Dólar)'!$G$32:$G$36</c:f>
              <c:numCache>
                <c:formatCode>0.0</c:formatCode>
                <c:ptCount val="5"/>
                <c:pt idx="0">
                  <c:v>9</c:v>
                </c:pt>
                <c:pt idx="1">
                  <c:v>6</c:v>
                </c:pt>
                <c:pt idx="2">
                  <c:v>4</c:v>
                </c:pt>
                <c:pt idx="3">
                  <c:v>2</c:v>
                </c:pt>
                <c:pt idx="4">
                  <c:v>0.5</c:v>
                </c:pt>
              </c:numCache>
            </c:numRef>
          </c:val>
          <c:smooth val="0"/>
          <c:extLst>
            <c:ext xmlns:c16="http://schemas.microsoft.com/office/drawing/2014/chart" uri="{C3380CC4-5D6E-409C-BE32-E72D297353CC}">
              <c16:uniqueId val="{00000001-30A3-4B78-82B7-1798C8080038}"/>
            </c:ext>
          </c:extLst>
        </c:ser>
        <c:ser>
          <c:idx val="2"/>
          <c:order val="2"/>
          <c:tx>
            <c:strRef>
              <c:f>'Take Profit Mini Dólar)'!$H$5</c:f>
              <c:strCache>
                <c:ptCount val="1"/>
                <c:pt idx="0">
                  <c:v>5 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'Take Profit Mini Dólar)'!$H$32:$H$37</c:f>
              <c:numCache>
                <c:formatCode>0.0</c:formatCode>
                <c:ptCount val="6"/>
                <c:pt idx="0">
                  <c:v>9</c:v>
                </c:pt>
                <c:pt idx="1">
                  <c:v>6.5</c:v>
                </c:pt>
                <c:pt idx="2">
                  <c:v>4.5</c:v>
                </c:pt>
                <c:pt idx="3">
                  <c:v>2.5</c:v>
                </c:pt>
                <c:pt idx="4">
                  <c:v>1.5</c:v>
                </c:pt>
                <c:pt idx="5">
                  <c:v>0.5</c:v>
                </c:pt>
              </c:numCache>
            </c:numRef>
          </c:val>
          <c:smooth val="0"/>
          <c:extLst>
            <c:ext xmlns:c16="http://schemas.microsoft.com/office/drawing/2014/chart" uri="{C3380CC4-5D6E-409C-BE32-E72D297353CC}">
              <c16:uniqueId val="{00000002-30A3-4B78-82B7-1798C8080038}"/>
            </c:ext>
          </c:extLst>
        </c:ser>
        <c:ser>
          <c:idx val="3"/>
          <c:order val="3"/>
          <c:tx>
            <c:strRef>
              <c:f>'Take Profit Mini Dólar)'!$E$5</c:f>
              <c:strCache>
                <c:ptCount val="1"/>
                <c:pt idx="0">
                  <c:v>2 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'Take Profit Mini Dólar)'!$E$32:$E$34</c:f>
              <c:numCache>
                <c:formatCode>0.0</c:formatCode>
                <c:ptCount val="3"/>
                <c:pt idx="0">
                  <c:v>9</c:v>
                </c:pt>
                <c:pt idx="1">
                  <c:v>4.5</c:v>
                </c:pt>
                <c:pt idx="2">
                  <c:v>0.5</c:v>
                </c:pt>
              </c:numCache>
            </c:numRef>
          </c:val>
          <c:smooth val="0"/>
          <c:extLst>
            <c:ext xmlns:c16="http://schemas.microsoft.com/office/drawing/2014/chart" uri="{C3380CC4-5D6E-409C-BE32-E72D297353CC}">
              <c16:uniqueId val="{00000003-30A3-4B78-82B7-1798C8080038}"/>
            </c:ext>
          </c:extLst>
        </c:ser>
        <c:ser>
          <c:idx val="4"/>
          <c:order val="4"/>
          <c:tx>
            <c:strRef>
              <c:f>'Take Profit Mini Dólar)'!$D$5</c:f>
              <c:strCache>
                <c:ptCount val="1"/>
                <c:pt idx="0">
                  <c:v>1 A.</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'Take Profit Mini Dólar)'!$D$32:$D$33</c:f>
              <c:numCache>
                <c:formatCode>0.0</c:formatCode>
                <c:ptCount val="2"/>
                <c:pt idx="0">
                  <c:v>9</c:v>
                </c:pt>
                <c:pt idx="1">
                  <c:v>0.5</c:v>
                </c:pt>
              </c:numCache>
            </c:numRef>
          </c:val>
          <c:smooth val="0"/>
          <c:extLst>
            <c:ext xmlns:c16="http://schemas.microsoft.com/office/drawing/2014/chart" uri="{C3380CC4-5D6E-409C-BE32-E72D297353CC}">
              <c16:uniqueId val="{00000004-30A3-4B78-82B7-1798C8080038}"/>
            </c:ext>
          </c:extLst>
        </c:ser>
        <c:ser>
          <c:idx val="5"/>
          <c:order val="5"/>
          <c:tx>
            <c:strRef>
              <c:f>'Take Profit Mini Dólar)'!$I$5</c:f>
              <c:strCache>
                <c:ptCount val="1"/>
                <c:pt idx="0">
                  <c:v>6 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'Take Profit Mini Dólar)'!$I$32:$I$38</c:f>
              <c:numCache>
                <c:formatCode>0.0</c:formatCode>
                <c:ptCount val="7"/>
                <c:pt idx="0">
                  <c:v>9</c:v>
                </c:pt>
                <c:pt idx="1">
                  <c:v>7</c:v>
                </c:pt>
                <c:pt idx="2">
                  <c:v>5</c:v>
                </c:pt>
                <c:pt idx="3">
                  <c:v>3.5</c:v>
                </c:pt>
                <c:pt idx="4">
                  <c:v>2</c:v>
                </c:pt>
                <c:pt idx="5">
                  <c:v>1</c:v>
                </c:pt>
                <c:pt idx="6">
                  <c:v>0.5</c:v>
                </c:pt>
              </c:numCache>
            </c:numRef>
          </c:val>
          <c:smooth val="0"/>
          <c:extLst>
            <c:ext xmlns:c16="http://schemas.microsoft.com/office/drawing/2014/chart" uri="{C3380CC4-5D6E-409C-BE32-E72D297353CC}">
              <c16:uniqueId val="{00000005-30A3-4B78-82B7-1798C8080038}"/>
            </c:ext>
          </c:extLst>
        </c:ser>
        <c:ser>
          <c:idx val="6"/>
          <c:order val="6"/>
          <c:tx>
            <c:strRef>
              <c:f>'Take Profit Mini Dólar)'!$J$5</c:f>
              <c:strCache>
                <c:ptCount val="1"/>
                <c:pt idx="0">
                  <c:v>7 A.</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'Take Profit Mini Dólar)'!$J$32:$J$39</c:f>
              <c:numCache>
                <c:formatCode>0.0</c:formatCode>
                <c:ptCount val="8"/>
                <c:pt idx="0">
                  <c:v>9</c:v>
                </c:pt>
                <c:pt idx="1">
                  <c:v>7</c:v>
                </c:pt>
                <c:pt idx="2">
                  <c:v>5.5</c:v>
                </c:pt>
                <c:pt idx="3">
                  <c:v>4</c:v>
                </c:pt>
                <c:pt idx="4">
                  <c:v>2.5</c:v>
                </c:pt>
                <c:pt idx="5">
                  <c:v>1.5</c:v>
                </c:pt>
                <c:pt idx="6">
                  <c:v>1</c:v>
                </c:pt>
                <c:pt idx="7">
                  <c:v>0.5</c:v>
                </c:pt>
              </c:numCache>
            </c:numRef>
          </c:val>
          <c:smooth val="0"/>
          <c:extLst>
            <c:ext xmlns:c16="http://schemas.microsoft.com/office/drawing/2014/chart" uri="{C3380CC4-5D6E-409C-BE32-E72D297353CC}">
              <c16:uniqueId val="{00000006-30A3-4B78-82B7-1798C8080038}"/>
            </c:ext>
          </c:extLst>
        </c:ser>
        <c:ser>
          <c:idx val="7"/>
          <c:order val="7"/>
          <c:tx>
            <c:strRef>
              <c:f>'Take Profit Mini Dólar)'!$K$5</c:f>
              <c:strCache>
                <c:ptCount val="1"/>
                <c:pt idx="0">
                  <c:v>8 A.</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val>
            <c:numRef>
              <c:f>'Take Profit Mini Dólar)'!$K$32:$K$40</c:f>
              <c:numCache>
                <c:formatCode>0.0</c:formatCode>
                <c:ptCount val="9"/>
                <c:pt idx="0">
                  <c:v>9</c:v>
                </c:pt>
                <c:pt idx="1">
                  <c:v>7.5</c:v>
                </c:pt>
                <c:pt idx="2">
                  <c:v>6</c:v>
                </c:pt>
                <c:pt idx="3">
                  <c:v>4.5</c:v>
                </c:pt>
                <c:pt idx="4">
                  <c:v>3</c:v>
                </c:pt>
                <c:pt idx="5">
                  <c:v>2</c:v>
                </c:pt>
                <c:pt idx="6">
                  <c:v>1.5</c:v>
                </c:pt>
                <c:pt idx="7">
                  <c:v>1</c:v>
                </c:pt>
                <c:pt idx="8">
                  <c:v>0.5</c:v>
                </c:pt>
              </c:numCache>
            </c:numRef>
          </c:val>
          <c:smooth val="0"/>
          <c:extLst>
            <c:ext xmlns:c16="http://schemas.microsoft.com/office/drawing/2014/chart" uri="{C3380CC4-5D6E-409C-BE32-E72D297353CC}">
              <c16:uniqueId val="{00000007-30A3-4B78-82B7-1798C8080038}"/>
            </c:ext>
          </c:extLst>
        </c:ser>
        <c:ser>
          <c:idx val="8"/>
          <c:order val="8"/>
          <c:tx>
            <c:strRef>
              <c:f>'Take Profit Mini Dólar)'!$L$5</c:f>
              <c:strCache>
                <c:ptCount val="1"/>
                <c:pt idx="0">
                  <c:v>9 A.</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val>
            <c:numRef>
              <c:f>'Take Profit Mini Dólar)'!$L$32:$L$41</c:f>
              <c:numCache>
                <c:formatCode>0.0</c:formatCode>
                <c:ptCount val="10"/>
                <c:pt idx="0">
                  <c:v>9</c:v>
                </c:pt>
                <c:pt idx="1">
                  <c:v>7.5</c:v>
                </c:pt>
                <c:pt idx="2">
                  <c:v>6</c:v>
                </c:pt>
                <c:pt idx="3">
                  <c:v>5</c:v>
                </c:pt>
                <c:pt idx="4">
                  <c:v>3.5</c:v>
                </c:pt>
                <c:pt idx="5">
                  <c:v>2.5</c:v>
                </c:pt>
                <c:pt idx="6">
                  <c:v>2</c:v>
                </c:pt>
                <c:pt idx="7">
                  <c:v>1.5</c:v>
                </c:pt>
                <c:pt idx="8">
                  <c:v>1</c:v>
                </c:pt>
                <c:pt idx="9">
                  <c:v>0.5</c:v>
                </c:pt>
              </c:numCache>
            </c:numRef>
          </c:val>
          <c:smooth val="0"/>
          <c:extLst>
            <c:ext xmlns:c16="http://schemas.microsoft.com/office/drawing/2014/chart" uri="{C3380CC4-5D6E-409C-BE32-E72D297353CC}">
              <c16:uniqueId val="{00000008-30A3-4B78-82B7-1798C8080038}"/>
            </c:ext>
          </c:extLst>
        </c:ser>
        <c:ser>
          <c:idx val="9"/>
          <c:order val="9"/>
          <c:tx>
            <c:strRef>
              <c:f>'Take Profit Mini Dólar)'!$M$5</c:f>
              <c:strCache>
                <c:ptCount val="1"/>
                <c:pt idx="0">
                  <c:v>10 A.</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val>
            <c:numRef>
              <c:f>'Take Profit Mini Dólar)'!$M$32:$M$42</c:f>
              <c:numCache>
                <c:formatCode>0.0</c:formatCode>
                <c:ptCount val="11"/>
                <c:pt idx="0">
                  <c:v>9</c:v>
                </c:pt>
                <c:pt idx="1">
                  <c:v>8</c:v>
                </c:pt>
                <c:pt idx="2">
                  <c:v>6.5</c:v>
                </c:pt>
                <c:pt idx="3">
                  <c:v>5</c:v>
                </c:pt>
                <c:pt idx="4">
                  <c:v>4</c:v>
                </c:pt>
                <c:pt idx="5">
                  <c:v>3</c:v>
                </c:pt>
                <c:pt idx="6">
                  <c:v>2.5</c:v>
                </c:pt>
                <c:pt idx="7">
                  <c:v>2</c:v>
                </c:pt>
                <c:pt idx="8">
                  <c:v>1.5</c:v>
                </c:pt>
                <c:pt idx="9">
                  <c:v>1</c:v>
                </c:pt>
                <c:pt idx="10">
                  <c:v>0.5</c:v>
                </c:pt>
              </c:numCache>
            </c:numRef>
          </c:val>
          <c:smooth val="0"/>
          <c:extLst>
            <c:ext xmlns:c16="http://schemas.microsoft.com/office/drawing/2014/chart" uri="{C3380CC4-5D6E-409C-BE32-E72D297353CC}">
              <c16:uniqueId val="{00000009-30A3-4B78-82B7-1798C8080038}"/>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1"/>
        <c:axPos val="b"/>
        <c:majorTickMark val="none"/>
        <c:minorTickMark val="none"/>
        <c:tickLblPos val="nextTo"/>
        <c:crossAx val="46161455"/>
        <c:crosses val="autoZero"/>
        <c:auto val="0"/>
        <c:lblAlgn val="ctr"/>
        <c:lblOffset val="100"/>
        <c:tickLblSkip val="1"/>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inorUnit val="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95477681903182"/>
          <c:y val="7.4051866630760951E-2"/>
          <c:w val="0.8121868632235667"/>
          <c:h val="0.81148719849636408"/>
        </c:manualLayout>
      </c:layout>
      <c:lineChart>
        <c:grouping val="standard"/>
        <c:varyColors val="0"/>
        <c:ser>
          <c:idx val="0"/>
          <c:order val="0"/>
          <c:tx>
            <c:strRef>
              <c:f>'Take Profit Mini Dólar)'!$F$5</c:f>
              <c:strCache>
                <c:ptCount val="1"/>
                <c:pt idx="0">
                  <c:v>3 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'Take Profit Mini Dólar)'!$F$45:$F$48</c:f>
              <c:numCache>
                <c:formatCode>0.0</c:formatCode>
                <c:ptCount val="4"/>
                <c:pt idx="0">
                  <c:v>6</c:v>
                </c:pt>
                <c:pt idx="1">
                  <c:v>3</c:v>
                </c:pt>
                <c:pt idx="2">
                  <c:v>1.5</c:v>
                </c:pt>
                <c:pt idx="3">
                  <c:v>0.5</c:v>
                </c:pt>
              </c:numCache>
            </c:numRef>
          </c:val>
          <c:smooth val="0"/>
          <c:extLst>
            <c:ext xmlns:c16="http://schemas.microsoft.com/office/drawing/2014/chart" uri="{C3380CC4-5D6E-409C-BE32-E72D297353CC}">
              <c16:uniqueId val="{00000000-FDB0-4FB8-8E50-E59AAAFECAE2}"/>
            </c:ext>
          </c:extLst>
        </c:ser>
        <c:ser>
          <c:idx val="1"/>
          <c:order val="1"/>
          <c:tx>
            <c:strRef>
              <c:f>'Take Profit Mini Dólar)'!$G$5</c:f>
              <c:strCache>
                <c:ptCount val="1"/>
                <c:pt idx="0">
                  <c:v>4 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'Take Profit Mini Dólar)'!$G$45:$G$49</c:f>
              <c:numCache>
                <c:formatCode>0.0</c:formatCode>
                <c:ptCount val="5"/>
                <c:pt idx="0">
                  <c:v>6</c:v>
                </c:pt>
                <c:pt idx="1">
                  <c:v>4</c:v>
                </c:pt>
                <c:pt idx="2">
                  <c:v>2.5</c:v>
                </c:pt>
                <c:pt idx="3">
                  <c:v>1</c:v>
                </c:pt>
                <c:pt idx="4">
                  <c:v>0.5</c:v>
                </c:pt>
              </c:numCache>
            </c:numRef>
          </c:val>
          <c:smooth val="0"/>
          <c:extLst>
            <c:ext xmlns:c16="http://schemas.microsoft.com/office/drawing/2014/chart" uri="{C3380CC4-5D6E-409C-BE32-E72D297353CC}">
              <c16:uniqueId val="{00000001-FDB0-4FB8-8E50-E59AAAFECAE2}"/>
            </c:ext>
          </c:extLst>
        </c:ser>
        <c:ser>
          <c:idx val="2"/>
          <c:order val="2"/>
          <c:tx>
            <c:strRef>
              <c:f>'Take Profit Mini Dólar)'!$H$5</c:f>
              <c:strCache>
                <c:ptCount val="1"/>
                <c:pt idx="0">
                  <c:v>5 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'Take Profit Mini Dólar)'!$H$45:$H$50</c:f>
              <c:numCache>
                <c:formatCode>0.0</c:formatCode>
                <c:ptCount val="6"/>
                <c:pt idx="0">
                  <c:v>6</c:v>
                </c:pt>
                <c:pt idx="1">
                  <c:v>4.5</c:v>
                </c:pt>
                <c:pt idx="2">
                  <c:v>3</c:v>
                </c:pt>
                <c:pt idx="3">
                  <c:v>1.5</c:v>
                </c:pt>
                <c:pt idx="4">
                  <c:v>0.5</c:v>
                </c:pt>
                <c:pt idx="5">
                  <c:v>0.5</c:v>
                </c:pt>
              </c:numCache>
            </c:numRef>
          </c:val>
          <c:smooth val="0"/>
          <c:extLst>
            <c:ext xmlns:c16="http://schemas.microsoft.com/office/drawing/2014/chart" uri="{C3380CC4-5D6E-409C-BE32-E72D297353CC}">
              <c16:uniqueId val="{00000002-FDB0-4FB8-8E50-E59AAAFECAE2}"/>
            </c:ext>
          </c:extLst>
        </c:ser>
        <c:ser>
          <c:idx val="3"/>
          <c:order val="3"/>
          <c:tx>
            <c:strRef>
              <c:f>'Take Profit Mini Dólar)'!$E$5</c:f>
              <c:strCache>
                <c:ptCount val="1"/>
                <c:pt idx="0">
                  <c:v>2 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'Take Profit Mini Dólar)'!$E$45:$E$47</c:f>
              <c:numCache>
                <c:formatCode>0.0</c:formatCode>
                <c:ptCount val="3"/>
                <c:pt idx="0">
                  <c:v>6</c:v>
                </c:pt>
                <c:pt idx="1">
                  <c:v>3</c:v>
                </c:pt>
                <c:pt idx="2">
                  <c:v>0.5</c:v>
                </c:pt>
              </c:numCache>
            </c:numRef>
          </c:val>
          <c:smooth val="0"/>
          <c:extLst>
            <c:ext xmlns:c16="http://schemas.microsoft.com/office/drawing/2014/chart" uri="{C3380CC4-5D6E-409C-BE32-E72D297353CC}">
              <c16:uniqueId val="{00000003-FDB0-4FB8-8E50-E59AAAFECAE2}"/>
            </c:ext>
          </c:extLst>
        </c:ser>
        <c:ser>
          <c:idx val="4"/>
          <c:order val="4"/>
          <c:tx>
            <c:strRef>
              <c:f>'Take Profit Mini Dólar)'!$D$5</c:f>
              <c:strCache>
                <c:ptCount val="1"/>
                <c:pt idx="0">
                  <c:v>1 A.</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'Take Profit Mini Dólar)'!$D$45:$D$46</c:f>
              <c:numCache>
                <c:formatCode>0.0</c:formatCode>
                <c:ptCount val="2"/>
                <c:pt idx="0">
                  <c:v>6</c:v>
                </c:pt>
                <c:pt idx="1">
                  <c:v>0.5</c:v>
                </c:pt>
              </c:numCache>
            </c:numRef>
          </c:val>
          <c:smooth val="0"/>
          <c:extLst>
            <c:ext xmlns:c16="http://schemas.microsoft.com/office/drawing/2014/chart" uri="{C3380CC4-5D6E-409C-BE32-E72D297353CC}">
              <c16:uniqueId val="{00000004-FDB0-4FB8-8E50-E59AAAFECAE2}"/>
            </c:ext>
          </c:extLst>
        </c:ser>
        <c:ser>
          <c:idx val="5"/>
          <c:order val="5"/>
          <c:tx>
            <c:strRef>
              <c:f>'Take Profit Mini Dólar)'!$I$5</c:f>
              <c:strCache>
                <c:ptCount val="1"/>
                <c:pt idx="0">
                  <c:v>6 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'Take Profit Mini Dólar)'!$I$45:$I$51</c:f>
              <c:numCache>
                <c:formatCode>0.0</c:formatCode>
                <c:ptCount val="7"/>
                <c:pt idx="0">
                  <c:v>6</c:v>
                </c:pt>
                <c:pt idx="1">
                  <c:v>4.5</c:v>
                </c:pt>
                <c:pt idx="2">
                  <c:v>3</c:v>
                </c:pt>
                <c:pt idx="3">
                  <c:v>2</c:v>
                </c:pt>
                <c:pt idx="4">
                  <c:v>1</c:v>
                </c:pt>
                <c:pt idx="5">
                  <c:v>0.5</c:v>
                </c:pt>
                <c:pt idx="6">
                  <c:v>0.5</c:v>
                </c:pt>
              </c:numCache>
            </c:numRef>
          </c:val>
          <c:smooth val="0"/>
          <c:extLst>
            <c:ext xmlns:c16="http://schemas.microsoft.com/office/drawing/2014/chart" uri="{C3380CC4-5D6E-409C-BE32-E72D297353CC}">
              <c16:uniqueId val="{00000005-FDB0-4FB8-8E50-E59AAAFECAE2}"/>
            </c:ext>
          </c:extLst>
        </c:ser>
        <c:ser>
          <c:idx val="6"/>
          <c:order val="6"/>
          <c:tx>
            <c:strRef>
              <c:f>'Take Profit Mini Dólar)'!$J$5</c:f>
              <c:strCache>
                <c:ptCount val="1"/>
                <c:pt idx="0">
                  <c:v>7 A.</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'Take Profit Mini Dólar)'!$J$45:$J$52</c:f>
              <c:numCache>
                <c:formatCode>0.0</c:formatCode>
                <c:ptCount val="8"/>
                <c:pt idx="0">
                  <c:v>6</c:v>
                </c:pt>
                <c:pt idx="1">
                  <c:v>4.5</c:v>
                </c:pt>
                <c:pt idx="2">
                  <c:v>3.5</c:v>
                </c:pt>
                <c:pt idx="3">
                  <c:v>2.5</c:v>
                </c:pt>
                <c:pt idx="4">
                  <c:v>2</c:v>
                </c:pt>
                <c:pt idx="5">
                  <c:v>1</c:v>
                </c:pt>
                <c:pt idx="6">
                  <c:v>0.5</c:v>
                </c:pt>
                <c:pt idx="7">
                  <c:v>0.5</c:v>
                </c:pt>
              </c:numCache>
            </c:numRef>
          </c:val>
          <c:smooth val="0"/>
          <c:extLst>
            <c:ext xmlns:c16="http://schemas.microsoft.com/office/drawing/2014/chart" uri="{C3380CC4-5D6E-409C-BE32-E72D297353CC}">
              <c16:uniqueId val="{00000006-FDB0-4FB8-8E50-E59AAAFECAE2}"/>
            </c:ext>
          </c:extLst>
        </c:ser>
        <c:ser>
          <c:idx val="7"/>
          <c:order val="7"/>
          <c:tx>
            <c:strRef>
              <c:f>'Take Profit Mini Dólar)'!$K$5</c:f>
              <c:strCache>
                <c:ptCount val="1"/>
                <c:pt idx="0">
                  <c:v>8 A.</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val>
            <c:numRef>
              <c:f>'Take Profit Mini Dólar)'!$K$45:$K$53</c:f>
              <c:numCache>
                <c:formatCode>0.0</c:formatCode>
                <c:ptCount val="9"/>
                <c:pt idx="0">
                  <c:v>6</c:v>
                </c:pt>
                <c:pt idx="1">
                  <c:v>5</c:v>
                </c:pt>
                <c:pt idx="2">
                  <c:v>4</c:v>
                </c:pt>
                <c:pt idx="3">
                  <c:v>3</c:v>
                </c:pt>
                <c:pt idx="4">
                  <c:v>2.5</c:v>
                </c:pt>
                <c:pt idx="5">
                  <c:v>2</c:v>
                </c:pt>
                <c:pt idx="6">
                  <c:v>1.5</c:v>
                </c:pt>
                <c:pt idx="7">
                  <c:v>1</c:v>
                </c:pt>
                <c:pt idx="8">
                  <c:v>0.5</c:v>
                </c:pt>
              </c:numCache>
            </c:numRef>
          </c:val>
          <c:smooth val="0"/>
          <c:extLst>
            <c:ext xmlns:c16="http://schemas.microsoft.com/office/drawing/2014/chart" uri="{C3380CC4-5D6E-409C-BE32-E72D297353CC}">
              <c16:uniqueId val="{00000007-FDB0-4FB8-8E50-E59AAAFECAE2}"/>
            </c:ext>
          </c:extLst>
        </c:ser>
        <c:ser>
          <c:idx val="8"/>
          <c:order val="8"/>
          <c:tx>
            <c:strRef>
              <c:f>'Take Profit Mini Dólar)'!$L$5</c:f>
              <c:strCache>
                <c:ptCount val="1"/>
                <c:pt idx="0">
                  <c:v>9 A.</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val>
            <c:numRef>
              <c:f>'Take Profit Mini Dólar)'!$L$45:$L$54</c:f>
              <c:numCache>
                <c:formatCode>0.0</c:formatCode>
                <c:ptCount val="10"/>
                <c:pt idx="0">
                  <c:v>6</c:v>
                </c:pt>
                <c:pt idx="1">
                  <c:v>5</c:v>
                </c:pt>
                <c:pt idx="2">
                  <c:v>4</c:v>
                </c:pt>
                <c:pt idx="3">
                  <c:v>3.5</c:v>
                </c:pt>
                <c:pt idx="4">
                  <c:v>2.5</c:v>
                </c:pt>
                <c:pt idx="5">
                  <c:v>2</c:v>
                </c:pt>
                <c:pt idx="6">
                  <c:v>1.5</c:v>
                </c:pt>
                <c:pt idx="7">
                  <c:v>1</c:v>
                </c:pt>
                <c:pt idx="8">
                  <c:v>0.5</c:v>
                </c:pt>
                <c:pt idx="9">
                  <c:v>0.5</c:v>
                </c:pt>
              </c:numCache>
            </c:numRef>
          </c:val>
          <c:smooth val="0"/>
          <c:extLst>
            <c:ext xmlns:c16="http://schemas.microsoft.com/office/drawing/2014/chart" uri="{C3380CC4-5D6E-409C-BE32-E72D297353CC}">
              <c16:uniqueId val="{00000008-FDB0-4FB8-8E50-E59AAAFECAE2}"/>
            </c:ext>
          </c:extLst>
        </c:ser>
        <c:ser>
          <c:idx val="9"/>
          <c:order val="9"/>
          <c:tx>
            <c:strRef>
              <c:f>'Take Profit Mini Dólar)'!$M$5</c:f>
              <c:strCache>
                <c:ptCount val="1"/>
                <c:pt idx="0">
                  <c:v>10 A.</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val>
            <c:numRef>
              <c:f>'Take Profit Mini Dólar)'!$M$45:$M$55</c:f>
              <c:numCache>
                <c:formatCode>0.0</c:formatCode>
                <c:ptCount val="11"/>
                <c:pt idx="0">
                  <c:v>6</c:v>
                </c:pt>
                <c:pt idx="1">
                  <c:v>5.5</c:v>
                </c:pt>
                <c:pt idx="2">
                  <c:v>4.5</c:v>
                </c:pt>
                <c:pt idx="3">
                  <c:v>4</c:v>
                </c:pt>
                <c:pt idx="4">
                  <c:v>3</c:v>
                </c:pt>
                <c:pt idx="5">
                  <c:v>2.5</c:v>
                </c:pt>
                <c:pt idx="6">
                  <c:v>2</c:v>
                </c:pt>
                <c:pt idx="7">
                  <c:v>1</c:v>
                </c:pt>
                <c:pt idx="8">
                  <c:v>1</c:v>
                </c:pt>
                <c:pt idx="9">
                  <c:v>0.5</c:v>
                </c:pt>
                <c:pt idx="10" formatCode="General">
                  <c:v>0.5</c:v>
                </c:pt>
              </c:numCache>
            </c:numRef>
          </c:val>
          <c:smooth val="0"/>
          <c:extLst>
            <c:ext xmlns:c16="http://schemas.microsoft.com/office/drawing/2014/chart" uri="{C3380CC4-5D6E-409C-BE32-E72D297353CC}">
              <c16:uniqueId val="{00000009-FDB0-4FB8-8E50-E59AAAFECAE2}"/>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1"/>
        <c:axPos val="b"/>
        <c:majorTickMark val="none"/>
        <c:minorTickMark val="none"/>
        <c:tickLblPos val="nextTo"/>
        <c:crossAx val="46161455"/>
        <c:crosses val="autoZero"/>
        <c:auto val="0"/>
        <c:lblAlgn val="ctr"/>
        <c:lblOffset val="100"/>
        <c:tickLblSkip val="1"/>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inorUnit val="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95477681903182"/>
          <c:y val="7.4051866630760951E-2"/>
          <c:w val="0.8121868632235667"/>
          <c:h val="0.81148719849636408"/>
        </c:manualLayout>
      </c:layout>
      <c:lineChart>
        <c:grouping val="standard"/>
        <c:varyColors val="0"/>
        <c:ser>
          <c:idx val="0"/>
          <c:order val="0"/>
          <c:tx>
            <c:strRef>
              <c:f>'Take Profit Mini Dólar)'!$F$5</c:f>
              <c:strCache>
                <c:ptCount val="1"/>
                <c:pt idx="0">
                  <c:v>3 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'Take Profit Mini Dólar)'!$F$58:$F$61</c:f>
              <c:numCache>
                <c:formatCode>0.0</c:formatCode>
                <c:ptCount val="4"/>
                <c:pt idx="0">
                  <c:v>3</c:v>
                </c:pt>
                <c:pt idx="1">
                  <c:v>2</c:v>
                </c:pt>
                <c:pt idx="2">
                  <c:v>1</c:v>
                </c:pt>
                <c:pt idx="3">
                  <c:v>0.5</c:v>
                </c:pt>
              </c:numCache>
            </c:numRef>
          </c:val>
          <c:smooth val="0"/>
          <c:extLst>
            <c:ext xmlns:c16="http://schemas.microsoft.com/office/drawing/2014/chart" uri="{C3380CC4-5D6E-409C-BE32-E72D297353CC}">
              <c16:uniqueId val="{00000000-B2E4-400E-A843-0F4EEA5B558F}"/>
            </c:ext>
          </c:extLst>
        </c:ser>
        <c:ser>
          <c:idx val="1"/>
          <c:order val="1"/>
          <c:tx>
            <c:strRef>
              <c:f>'Take Profit Mini Dólar)'!$G$5</c:f>
              <c:strCache>
                <c:ptCount val="1"/>
                <c:pt idx="0">
                  <c:v>4 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'Take Profit Mini Dólar)'!$G$58:$G$62</c:f>
              <c:numCache>
                <c:formatCode>0.0</c:formatCode>
                <c:ptCount val="5"/>
                <c:pt idx="0">
                  <c:v>3</c:v>
                </c:pt>
                <c:pt idx="1">
                  <c:v>2</c:v>
                </c:pt>
                <c:pt idx="2">
                  <c:v>1.5</c:v>
                </c:pt>
                <c:pt idx="3">
                  <c:v>0.5</c:v>
                </c:pt>
                <c:pt idx="4">
                  <c:v>0.5</c:v>
                </c:pt>
              </c:numCache>
            </c:numRef>
          </c:val>
          <c:smooth val="0"/>
          <c:extLst>
            <c:ext xmlns:c16="http://schemas.microsoft.com/office/drawing/2014/chart" uri="{C3380CC4-5D6E-409C-BE32-E72D297353CC}">
              <c16:uniqueId val="{00000001-B2E4-400E-A843-0F4EEA5B558F}"/>
            </c:ext>
          </c:extLst>
        </c:ser>
        <c:ser>
          <c:idx val="2"/>
          <c:order val="2"/>
          <c:tx>
            <c:strRef>
              <c:f>'Take Profit Mini Dólar)'!$H$5</c:f>
              <c:strCache>
                <c:ptCount val="1"/>
                <c:pt idx="0">
                  <c:v>5 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'Take Profit Mini Dólar)'!$H$58:$H$63</c:f>
              <c:numCache>
                <c:formatCode>0.0</c:formatCode>
                <c:ptCount val="6"/>
                <c:pt idx="0">
                  <c:v>3</c:v>
                </c:pt>
                <c:pt idx="1">
                  <c:v>2.5</c:v>
                </c:pt>
                <c:pt idx="2">
                  <c:v>1.5</c:v>
                </c:pt>
                <c:pt idx="3">
                  <c:v>1</c:v>
                </c:pt>
                <c:pt idx="4">
                  <c:v>0.5</c:v>
                </c:pt>
                <c:pt idx="5">
                  <c:v>0.5</c:v>
                </c:pt>
              </c:numCache>
            </c:numRef>
          </c:val>
          <c:smooth val="0"/>
          <c:extLst>
            <c:ext xmlns:c16="http://schemas.microsoft.com/office/drawing/2014/chart" uri="{C3380CC4-5D6E-409C-BE32-E72D297353CC}">
              <c16:uniqueId val="{00000002-B2E4-400E-A843-0F4EEA5B558F}"/>
            </c:ext>
          </c:extLst>
        </c:ser>
        <c:ser>
          <c:idx val="3"/>
          <c:order val="3"/>
          <c:tx>
            <c:strRef>
              <c:f>'Take Profit Mini Dólar)'!$E$5</c:f>
              <c:strCache>
                <c:ptCount val="1"/>
                <c:pt idx="0">
                  <c:v>2 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'Take Profit Mini Dólar)'!$E$58:$E$60</c:f>
              <c:numCache>
                <c:formatCode>0.0</c:formatCode>
                <c:ptCount val="3"/>
                <c:pt idx="0">
                  <c:v>3</c:v>
                </c:pt>
                <c:pt idx="1">
                  <c:v>1.5</c:v>
                </c:pt>
                <c:pt idx="2">
                  <c:v>0.5</c:v>
                </c:pt>
              </c:numCache>
            </c:numRef>
          </c:val>
          <c:smooth val="0"/>
          <c:extLst>
            <c:ext xmlns:c16="http://schemas.microsoft.com/office/drawing/2014/chart" uri="{C3380CC4-5D6E-409C-BE32-E72D297353CC}">
              <c16:uniqueId val="{00000003-B2E4-400E-A843-0F4EEA5B558F}"/>
            </c:ext>
          </c:extLst>
        </c:ser>
        <c:ser>
          <c:idx val="4"/>
          <c:order val="4"/>
          <c:tx>
            <c:strRef>
              <c:f>'Take Profit Mini Dólar)'!$D$5</c:f>
              <c:strCache>
                <c:ptCount val="1"/>
                <c:pt idx="0">
                  <c:v>1 A.</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'Take Profit Mini Dólar)'!$D$58:$D$59</c:f>
              <c:numCache>
                <c:formatCode>0.0</c:formatCode>
                <c:ptCount val="2"/>
                <c:pt idx="0">
                  <c:v>3</c:v>
                </c:pt>
                <c:pt idx="1">
                  <c:v>0.5</c:v>
                </c:pt>
              </c:numCache>
            </c:numRef>
          </c:val>
          <c:smooth val="0"/>
          <c:extLst>
            <c:ext xmlns:c16="http://schemas.microsoft.com/office/drawing/2014/chart" uri="{C3380CC4-5D6E-409C-BE32-E72D297353CC}">
              <c16:uniqueId val="{00000004-B2E4-400E-A843-0F4EEA5B558F}"/>
            </c:ext>
          </c:extLst>
        </c:ser>
        <c:ser>
          <c:idx val="5"/>
          <c:order val="5"/>
          <c:tx>
            <c:strRef>
              <c:f>'Take Profit Mini Dólar)'!$I$5</c:f>
              <c:strCache>
                <c:ptCount val="1"/>
                <c:pt idx="0">
                  <c:v>6 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'Take Profit Mini Dólar)'!$I$58:$I$64</c:f>
              <c:numCache>
                <c:formatCode>0.0</c:formatCode>
                <c:ptCount val="7"/>
                <c:pt idx="0">
                  <c:v>3</c:v>
                </c:pt>
                <c:pt idx="1">
                  <c:v>2.5</c:v>
                </c:pt>
                <c:pt idx="2">
                  <c:v>1.5</c:v>
                </c:pt>
                <c:pt idx="3">
                  <c:v>1</c:v>
                </c:pt>
                <c:pt idx="4">
                  <c:v>0.5</c:v>
                </c:pt>
                <c:pt idx="5">
                  <c:v>0.5</c:v>
                </c:pt>
                <c:pt idx="6">
                  <c:v>0.5</c:v>
                </c:pt>
              </c:numCache>
            </c:numRef>
          </c:val>
          <c:smooth val="0"/>
          <c:extLst>
            <c:ext xmlns:c16="http://schemas.microsoft.com/office/drawing/2014/chart" uri="{C3380CC4-5D6E-409C-BE32-E72D297353CC}">
              <c16:uniqueId val="{00000005-B2E4-400E-A843-0F4EEA5B558F}"/>
            </c:ext>
          </c:extLst>
        </c:ser>
        <c:ser>
          <c:idx val="6"/>
          <c:order val="6"/>
          <c:tx>
            <c:strRef>
              <c:f>'Take Profit Mini Dólar)'!$J$5</c:f>
              <c:strCache>
                <c:ptCount val="1"/>
                <c:pt idx="0">
                  <c:v>7 A.</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'Take Profit Mini Dólar)'!$J$58:$J$65</c:f>
              <c:numCache>
                <c:formatCode>0.0</c:formatCode>
                <c:ptCount val="8"/>
                <c:pt idx="0">
                  <c:v>3</c:v>
                </c:pt>
                <c:pt idx="1">
                  <c:v>2.5</c:v>
                </c:pt>
                <c:pt idx="2">
                  <c:v>2</c:v>
                </c:pt>
                <c:pt idx="3">
                  <c:v>1.5</c:v>
                </c:pt>
                <c:pt idx="4">
                  <c:v>1</c:v>
                </c:pt>
                <c:pt idx="5">
                  <c:v>0.5</c:v>
                </c:pt>
                <c:pt idx="6">
                  <c:v>0.5</c:v>
                </c:pt>
                <c:pt idx="7">
                  <c:v>0.5</c:v>
                </c:pt>
              </c:numCache>
            </c:numRef>
          </c:val>
          <c:smooth val="0"/>
          <c:extLst>
            <c:ext xmlns:c16="http://schemas.microsoft.com/office/drawing/2014/chart" uri="{C3380CC4-5D6E-409C-BE32-E72D297353CC}">
              <c16:uniqueId val="{00000006-B2E4-400E-A843-0F4EEA5B558F}"/>
            </c:ext>
          </c:extLst>
        </c:ser>
        <c:ser>
          <c:idx val="7"/>
          <c:order val="7"/>
          <c:tx>
            <c:strRef>
              <c:f>'Take Profit Mini Dólar)'!$K$5</c:f>
              <c:strCache>
                <c:ptCount val="1"/>
                <c:pt idx="0">
                  <c:v>8 A.</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val>
            <c:numRef>
              <c:f>'Take Profit Mini Dólar)'!$K$58:$K$66</c:f>
              <c:numCache>
                <c:formatCode>0.0</c:formatCode>
                <c:ptCount val="9"/>
                <c:pt idx="0">
                  <c:v>3</c:v>
                </c:pt>
                <c:pt idx="1">
                  <c:v>2.5</c:v>
                </c:pt>
                <c:pt idx="2">
                  <c:v>2</c:v>
                </c:pt>
                <c:pt idx="3">
                  <c:v>1.5</c:v>
                </c:pt>
                <c:pt idx="4">
                  <c:v>1</c:v>
                </c:pt>
                <c:pt idx="5">
                  <c:v>1</c:v>
                </c:pt>
                <c:pt idx="6">
                  <c:v>0.5</c:v>
                </c:pt>
                <c:pt idx="7">
                  <c:v>0.5</c:v>
                </c:pt>
                <c:pt idx="8">
                  <c:v>0.5</c:v>
                </c:pt>
              </c:numCache>
            </c:numRef>
          </c:val>
          <c:smooth val="0"/>
          <c:extLst>
            <c:ext xmlns:c16="http://schemas.microsoft.com/office/drawing/2014/chart" uri="{C3380CC4-5D6E-409C-BE32-E72D297353CC}">
              <c16:uniqueId val="{00000007-B2E4-400E-A843-0F4EEA5B558F}"/>
            </c:ext>
          </c:extLst>
        </c:ser>
        <c:ser>
          <c:idx val="8"/>
          <c:order val="8"/>
          <c:tx>
            <c:strRef>
              <c:f>'Take Profit Mini Dólar)'!$L$5</c:f>
              <c:strCache>
                <c:ptCount val="1"/>
                <c:pt idx="0">
                  <c:v>9 A.</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val>
            <c:numRef>
              <c:f>'Take Profit Mini Dólar)'!$L$58:$L$67</c:f>
              <c:numCache>
                <c:formatCode>0.0</c:formatCode>
                <c:ptCount val="10"/>
                <c:pt idx="0">
                  <c:v>3</c:v>
                </c:pt>
                <c:pt idx="1">
                  <c:v>2.5</c:v>
                </c:pt>
                <c:pt idx="2">
                  <c:v>2</c:v>
                </c:pt>
                <c:pt idx="3">
                  <c:v>1.5</c:v>
                </c:pt>
                <c:pt idx="4">
                  <c:v>1</c:v>
                </c:pt>
                <c:pt idx="5">
                  <c:v>1</c:v>
                </c:pt>
                <c:pt idx="6">
                  <c:v>0.5</c:v>
                </c:pt>
                <c:pt idx="7">
                  <c:v>0.5</c:v>
                </c:pt>
                <c:pt idx="8">
                  <c:v>0.5</c:v>
                </c:pt>
                <c:pt idx="9">
                  <c:v>0.5</c:v>
                </c:pt>
              </c:numCache>
            </c:numRef>
          </c:val>
          <c:smooth val="0"/>
          <c:extLst>
            <c:ext xmlns:c16="http://schemas.microsoft.com/office/drawing/2014/chart" uri="{C3380CC4-5D6E-409C-BE32-E72D297353CC}">
              <c16:uniqueId val="{00000008-B2E4-400E-A843-0F4EEA5B558F}"/>
            </c:ext>
          </c:extLst>
        </c:ser>
        <c:ser>
          <c:idx val="9"/>
          <c:order val="9"/>
          <c:tx>
            <c:strRef>
              <c:f>'Take Profit Mini Dólar)'!$M$5</c:f>
              <c:strCache>
                <c:ptCount val="1"/>
                <c:pt idx="0">
                  <c:v>10 A.</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val>
            <c:numRef>
              <c:f>'Take Profit Mini Dólar)'!$M$58:$M$68</c:f>
              <c:numCache>
                <c:formatCode>0.0</c:formatCode>
                <c:ptCount val="11"/>
                <c:pt idx="0">
                  <c:v>3</c:v>
                </c:pt>
                <c:pt idx="1">
                  <c:v>2.5</c:v>
                </c:pt>
                <c:pt idx="2">
                  <c:v>2</c:v>
                </c:pt>
                <c:pt idx="3">
                  <c:v>1.5</c:v>
                </c:pt>
                <c:pt idx="4">
                  <c:v>1.5</c:v>
                </c:pt>
                <c:pt idx="5">
                  <c:v>1</c:v>
                </c:pt>
                <c:pt idx="6">
                  <c:v>1</c:v>
                </c:pt>
                <c:pt idx="7">
                  <c:v>0.5</c:v>
                </c:pt>
                <c:pt idx="8">
                  <c:v>0.5</c:v>
                </c:pt>
                <c:pt idx="9">
                  <c:v>0.5</c:v>
                </c:pt>
                <c:pt idx="10">
                  <c:v>0.5</c:v>
                </c:pt>
              </c:numCache>
            </c:numRef>
          </c:val>
          <c:smooth val="0"/>
          <c:extLst>
            <c:ext xmlns:c16="http://schemas.microsoft.com/office/drawing/2014/chart" uri="{C3380CC4-5D6E-409C-BE32-E72D297353CC}">
              <c16:uniqueId val="{00000009-B2E4-400E-A843-0F4EEA5B558F}"/>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1"/>
        <c:axPos val="b"/>
        <c:majorTickMark val="none"/>
        <c:minorTickMark val="none"/>
        <c:tickLblPos val="nextTo"/>
        <c:crossAx val="46161455"/>
        <c:crosses val="autoZero"/>
        <c:auto val="0"/>
        <c:lblAlgn val="ctr"/>
        <c:lblOffset val="100"/>
        <c:tickLblSkip val="1"/>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inorUnit val="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095477681903182"/>
          <c:y val="0.15626017412916227"/>
          <c:w val="0.8121868632235667"/>
          <c:h val="0.72927886901388672"/>
        </c:manualLayout>
      </c:layout>
      <c:lineChart>
        <c:grouping val="stacked"/>
        <c:varyColors val="0"/>
        <c:ser>
          <c:idx val="0"/>
          <c:order val="0"/>
          <c:tx>
            <c:strRef>
              <c:f>'Estratégias Mini Índice'!$D$93:$F$93</c:f>
              <c:strCache>
                <c:ptCount val="1"/>
                <c:pt idx="0">
                  <c:v>Regressivo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Índice'!$P$92:$P$102</c:f>
              <c:numCache>
                <c:formatCode>0</c:formatCode>
                <c:ptCount val="11"/>
                <c:pt idx="0" formatCode="General">
                  <c:v>0</c:v>
                </c:pt>
                <c:pt idx="1">
                  <c:v>360</c:v>
                </c:pt>
                <c:pt idx="2">
                  <c:v>600</c:v>
                </c:pt>
                <c:pt idx="3">
                  <c:v>810</c:v>
                </c:pt>
                <c:pt idx="4">
                  <c:v>975</c:v>
                </c:pt>
                <c:pt idx="5">
                  <c:v>1110</c:v>
                </c:pt>
                <c:pt idx="6">
                  <c:v>1230</c:v>
                </c:pt>
                <c:pt idx="7">
                  <c:v>1305</c:v>
                </c:pt>
                <c:pt idx="8">
                  <c:v>1380</c:v>
                </c:pt>
                <c:pt idx="9">
                  <c:v>1440</c:v>
                </c:pt>
                <c:pt idx="10">
                  <c:v>1470</c:v>
                </c:pt>
              </c:numCache>
            </c:numRef>
          </c:val>
          <c:smooth val="0"/>
          <c:extLst>
            <c:ext xmlns:c16="http://schemas.microsoft.com/office/drawing/2014/chart" uri="{C3380CC4-5D6E-409C-BE32-E72D297353CC}">
              <c16:uniqueId val="{00000000-3739-4C93-8E29-8E38C0075D4E}"/>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20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095477681903182"/>
          <c:y val="0.19640358017949625"/>
          <c:w val="0.8121868632235667"/>
          <c:h val="0.68913542603445788"/>
        </c:manualLayout>
      </c:layout>
      <c:lineChart>
        <c:grouping val="stacked"/>
        <c:varyColors val="0"/>
        <c:ser>
          <c:idx val="0"/>
          <c:order val="0"/>
          <c:tx>
            <c:strRef>
              <c:f>'Estratégias Mini Índice'!$D$16:$F$16</c:f>
              <c:strCache>
                <c:ptCount val="1"/>
                <c:pt idx="0">
                  <c:v>Progressivo Forte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Índice'!$P$17:$P$25</c:f>
              <c:numCache>
                <c:formatCode>0</c:formatCode>
                <c:ptCount val="9"/>
                <c:pt idx="0" formatCode="General">
                  <c:v>0</c:v>
                </c:pt>
                <c:pt idx="1">
                  <c:v>45</c:v>
                </c:pt>
                <c:pt idx="2">
                  <c:v>105</c:v>
                </c:pt>
                <c:pt idx="3">
                  <c:v>225</c:v>
                </c:pt>
                <c:pt idx="4">
                  <c:v>450</c:v>
                </c:pt>
                <c:pt idx="5">
                  <c:v>750</c:v>
                </c:pt>
                <c:pt idx="6">
                  <c:v>1050</c:v>
                </c:pt>
                <c:pt idx="7">
                  <c:v>1350</c:v>
                </c:pt>
                <c:pt idx="8" formatCode="General">
                  <c:v>1500</c:v>
                </c:pt>
              </c:numCache>
            </c:numRef>
          </c:val>
          <c:smooth val="0"/>
          <c:extLst>
            <c:ext xmlns:c16="http://schemas.microsoft.com/office/drawing/2014/chart" uri="{C3380CC4-5D6E-409C-BE32-E72D297353CC}">
              <c16:uniqueId val="{00000000-3739-4C93-8E29-8E38C0075D4E}"/>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20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0347086667014822"/>
          <c:y val="4.4067767204212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095477681903182"/>
          <c:y val="0.19640358017949625"/>
          <c:w val="0.8121868632235667"/>
          <c:h val="0.68913542603445788"/>
        </c:manualLayout>
      </c:layout>
      <c:lineChart>
        <c:grouping val="stacked"/>
        <c:varyColors val="0"/>
        <c:ser>
          <c:idx val="0"/>
          <c:order val="0"/>
          <c:tx>
            <c:strRef>
              <c:f>'Estratégias Mini Índice'!$D$5:$F$5</c:f>
              <c:strCache>
                <c:ptCount val="1"/>
                <c:pt idx="0">
                  <c:v>Progressivo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Índice'!$P$6:$P$14</c:f>
              <c:numCache>
                <c:formatCode>0</c:formatCode>
                <c:ptCount val="9"/>
                <c:pt idx="0" formatCode="General">
                  <c:v>0</c:v>
                </c:pt>
                <c:pt idx="1">
                  <c:v>90</c:v>
                </c:pt>
                <c:pt idx="2">
                  <c:v>225</c:v>
                </c:pt>
                <c:pt idx="3">
                  <c:v>390</c:v>
                </c:pt>
                <c:pt idx="4">
                  <c:v>600</c:v>
                </c:pt>
                <c:pt idx="5">
                  <c:v>825</c:v>
                </c:pt>
                <c:pt idx="6">
                  <c:v>1050</c:v>
                </c:pt>
                <c:pt idx="7">
                  <c:v>1275</c:v>
                </c:pt>
                <c:pt idx="8" formatCode="General">
                  <c:v>1500</c:v>
                </c:pt>
              </c:numCache>
            </c:numRef>
          </c:val>
          <c:smooth val="0"/>
          <c:extLst>
            <c:ext xmlns:c16="http://schemas.microsoft.com/office/drawing/2014/chart" uri="{C3380CC4-5D6E-409C-BE32-E72D297353CC}">
              <c16:uniqueId val="{00000000-3739-4C93-8E29-8E38C0075D4E}"/>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20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095484543150219"/>
          <c:y val="0.17577836829401486"/>
          <c:w val="0.8121868632235667"/>
          <c:h val="0.68913542603445788"/>
        </c:manualLayout>
      </c:layout>
      <c:lineChart>
        <c:grouping val="stacked"/>
        <c:varyColors val="0"/>
        <c:ser>
          <c:idx val="0"/>
          <c:order val="0"/>
          <c:tx>
            <c:strRef>
              <c:f>'Estratégias Mini Índice'!$D$60:$F$60</c:f>
              <c:strCache>
                <c:ptCount val="1"/>
                <c:pt idx="0">
                  <c:v>Grade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Índice'!$O$61:$O$68</c:f>
              <c:numCache>
                <c:formatCode>0</c:formatCode>
                <c:ptCount val="8"/>
                <c:pt idx="0" formatCode="General">
                  <c:v>0</c:v>
                </c:pt>
                <c:pt idx="1">
                  <c:v>190</c:v>
                </c:pt>
                <c:pt idx="2">
                  <c:v>375</c:v>
                </c:pt>
                <c:pt idx="3">
                  <c:v>565</c:v>
                </c:pt>
                <c:pt idx="4">
                  <c:v>750</c:v>
                </c:pt>
                <c:pt idx="5">
                  <c:v>940</c:v>
                </c:pt>
                <c:pt idx="6">
                  <c:v>1125</c:v>
                </c:pt>
                <c:pt idx="7">
                  <c:v>1315</c:v>
                </c:pt>
              </c:numCache>
            </c:numRef>
          </c:val>
          <c:smooth val="0"/>
          <c:extLst>
            <c:ext xmlns:c16="http://schemas.microsoft.com/office/drawing/2014/chart" uri="{C3380CC4-5D6E-409C-BE32-E72D297353CC}">
              <c16:uniqueId val="{00000000-3739-4C93-8E29-8E38C0075D4E}"/>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20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4095477681903182"/>
          <c:y val="0.19640358017949625"/>
          <c:w val="0.8121868632235667"/>
          <c:h val="0.68913542603445788"/>
        </c:manualLayout>
      </c:layout>
      <c:lineChart>
        <c:grouping val="stacked"/>
        <c:varyColors val="0"/>
        <c:ser>
          <c:idx val="0"/>
          <c:order val="0"/>
          <c:tx>
            <c:strRef>
              <c:f>'Estratégias Mini Índice'!$D$115:$F$115</c:f>
              <c:strCache>
                <c:ptCount val="1"/>
                <c:pt idx="0">
                  <c:v>Grade Progressiva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Índice'!$P$116:$P$126</c:f>
              <c:numCache>
                <c:formatCode>0</c:formatCode>
                <c:ptCount val="11"/>
                <c:pt idx="0" formatCode="General">
                  <c:v>0</c:v>
                </c:pt>
                <c:pt idx="1">
                  <c:v>135</c:v>
                </c:pt>
                <c:pt idx="2">
                  <c:v>270</c:v>
                </c:pt>
                <c:pt idx="3">
                  <c:v>410</c:v>
                </c:pt>
                <c:pt idx="4">
                  <c:v>545</c:v>
                </c:pt>
                <c:pt idx="5">
                  <c:v>680</c:v>
                </c:pt>
                <c:pt idx="6">
                  <c:v>820</c:v>
                </c:pt>
                <c:pt idx="7">
                  <c:v>955</c:v>
                </c:pt>
                <c:pt idx="8">
                  <c:v>1090</c:v>
                </c:pt>
                <c:pt idx="9">
                  <c:v>1225</c:v>
                </c:pt>
                <c:pt idx="10">
                  <c:v>1365</c:v>
                </c:pt>
              </c:numCache>
            </c:numRef>
          </c:val>
          <c:smooth val="0"/>
          <c:extLst>
            <c:ext xmlns:c16="http://schemas.microsoft.com/office/drawing/2014/chart" uri="{C3380CC4-5D6E-409C-BE32-E72D297353CC}">
              <c16:uniqueId val="{00000000-3739-4C93-8E29-8E38C0075D4E}"/>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5402177130540282"/>
          <c:y val="0.15180447239802955"/>
          <c:w val="0.8121868632235667"/>
          <c:h val="0.73373463935573302"/>
        </c:manualLayout>
      </c:layout>
      <c:lineChart>
        <c:grouping val="stacked"/>
        <c:varyColors val="0"/>
        <c:ser>
          <c:idx val="0"/>
          <c:order val="0"/>
          <c:tx>
            <c:strRef>
              <c:f>'Estratégias Mini Índice'!$D$71:$F$71</c:f>
              <c:strCache>
                <c:ptCount val="1"/>
                <c:pt idx="0">
                  <c:v>Oscilante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'Estratégias Mini Índice'!$P$70:$P$80</c:f>
              <c:numCache>
                <c:formatCode>0</c:formatCode>
                <c:ptCount val="11"/>
                <c:pt idx="1">
                  <c:v>60</c:v>
                </c:pt>
                <c:pt idx="2">
                  <c:v>150</c:v>
                </c:pt>
                <c:pt idx="3">
                  <c:v>255</c:v>
                </c:pt>
                <c:pt idx="4">
                  <c:v>450</c:v>
                </c:pt>
                <c:pt idx="5">
                  <c:v>705</c:v>
                </c:pt>
                <c:pt idx="6">
                  <c:v>1020</c:v>
                </c:pt>
                <c:pt idx="7">
                  <c:v>1215</c:v>
                </c:pt>
                <c:pt idx="8">
                  <c:v>1335</c:v>
                </c:pt>
                <c:pt idx="9">
                  <c:v>1410</c:v>
                </c:pt>
                <c:pt idx="10">
                  <c:v>1455</c:v>
                </c:pt>
              </c:numCache>
            </c:numRef>
          </c:val>
          <c:smooth val="0"/>
          <c:extLst>
            <c:ext xmlns:c16="http://schemas.microsoft.com/office/drawing/2014/chart" uri="{C3380CC4-5D6E-409C-BE32-E72D297353CC}">
              <c16:uniqueId val="{00000000-3739-4C93-8E29-8E38C0075D4E}"/>
            </c:ext>
          </c:extLst>
        </c:ser>
        <c:dLbls>
          <c:showLegendKey val="0"/>
          <c:showVal val="0"/>
          <c:showCatName val="0"/>
          <c:showSerName val="0"/>
          <c:showPercent val="0"/>
          <c:showBubbleSize val="0"/>
        </c:dLbls>
        <c:marker val="1"/>
        <c:smooth val="0"/>
        <c:axId val="46161039"/>
        <c:axId val="46161455"/>
      </c:lineChart>
      <c:catAx>
        <c:axId val="461610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455"/>
        <c:crosses val="autoZero"/>
        <c:auto val="1"/>
        <c:lblAlgn val="ctr"/>
        <c:lblOffset val="100"/>
        <c:noMultiLvlLbl val="0"/>
      </c:catAx>
      <c:valAx>
        <c:axId val="4616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6161039"/>
        <c:crosses val="autoZero"/>
        <c:crossBetween val="between"/>
        <c:majorUnit val="20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0" Type="http://schemas.openxmlformats.org/officeDocument/2006/relationships/chart" Target="../charts/chart12.xml"/><Relationship Id="rId4" Type="http://schemas.openxmlformats.org/officeDocument/2006/relationships/chart" Target="../charts/chart6.xml"/><Relationship Id="rId9"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chart" Target="../charts/chart29.xml"/><Relationship Id="rId5" Type="http://schemas.openxmlformats.org/officeDocument/2006/relationships/chart" Target="../charts/chart2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5" Type="http://schemas.openxmlformats.org/officeDocument/2006/relationships/chart" Target="../charts/chart34.xml"/><Relationship Id="rId4" Type="http://schemas.openxmlformats.org/officeDocument/2006/relationships/chart" Target="../charts/chart33.xml"/></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23813</xdr:colOff>
      <xdr:row>15</xdr:row>
      <xdr:rowOff>31750</xdr:rowOff>
    </xdr:from>
    <xdr:to>
      <xdr:col>8</xdr:col>
      <xdr:colOff>79375</xdr:colOff>
      <xdr:row>29</xdr:row>
      <xdr:rowOff>150811</xdr:rowOff>
    </xdr:to>
    <xdr:graphicFrame macro="">
      <xdr:nvGraphicFramePr>
        <xdr:cNvPr id="2" name="Gráfico 1">
          <a:extLst>
            <a:ext uri="{FF2B5EF4-FFF2-40B4-BE49-F238E27FC236}">
              <a16:creationId xmlns:a16="http://schemas.microsoft.com/office/drawing/2014/main" id="{65FE471D-A86B-45B2-9857-4C46018129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142875</xdr:colOff>
      <xdr:row>1</xdr:row>
      <xdr:rowOff>103187</xdr:rowOff>
    </xdr:from>
    <xdr:ext cx="1669211" cy="436563"/>
    <xdr:pic>
      <xdr:nvPicPr>
        <xdr:cNvPr id="3" name="Imagem 2">
          <a:extLst>
            <a:ext uri="{FF2B5EF4-FFF2-40B4-BE49-F238E27FC236}">
              <a16:creationId xmlns:a16="http://schemas.microsoft.com/office/drawing/2014/main" id="{89BF9D46-3693-40F5-B600-A760CFD1BA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293687"/>
          <a:ext cx="1669211" cy="436563"/>
        </a:xfrm>
        <a:prstGeom prst="rect">
          <a:avLst/>
        </a:prstGeom>
      </xdr:spPr>
    </xdr:pic>
    <xdr:clientData/>
  </xdr:oneCellAnchor>
  <xdr:twoCellAnchor>
    <xdr:from>
      <xdr:col>9</xdr:col>
      <xdr:colOff>333375</xdr:colOff>
      <xdr:row>17</xdr:row>
      <xdr:rowOff>47625</xdr:rowOff>
    </xdr:from>
    <xdr:to>
      <xdr:col>11</xdr:col>
      <xdr:colOff>690563</xdr:colOff>
      <xdr:row>20</xdr:row>
      <xdr:rowOff>166688</xdr:rowOff>
    </xdr:to>
    <xdr:sp macro="" textlink="">
      <xdr:nvSpPr>
        <xdr:cNvPr id="4" name="CaixaDeTexto 3">
          <a:extLst>
            <a:ext uri="{FF2B5EF4-FFF2-40B4-BE49-F238E27FC236}">
              <a16:creationId xmlns:a16="http://schemas.microsoft.com/office/drawing/2014/main" id="{16468BA8-1EFF-4E84-B4CC-196D333A37FC}"/>
            </a:ext>
          </a:extLst>
        </xdr:cNvPr>
        <xdr:cNvSpPr txBox="1"/>
      </xdr:nvSpPr>
      <xdr:spPr>
        <a:xfrm>
          <a:off x="5819775" y="3286125"/>
          <a:ext cx="1490663" cy="69056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200" b="1"/>
            <a:t>Atenção:</a:t>
          </a:r>
        </a:p>
        <a:p>
          <a:r>
            <a:rPr lang="pt-BR" sz="1100"/>
            <a:t>Somente altere as células que estão amarelas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63501</xdr:colOff>
      <xdr:row>14</xdr:row>
      <xdr:rowOff>158750</xdr:rowOff>
    </xdr:from>
    <xdr:to>
      <xdr:col>8</xdr:col>
      <xdr:colOff>523875</xdr:colOff>
      <xdr:row>30</xdr:row>
      <xdr:rowOff>0</xdr:rowOff>
    </xdr:to>
    <xdr:graphicFrame macro="">
      <xdr:nvGraphicFramePr>
        <xdr:cNvPr id="2" name="Gráfico 1">
          <a:extLst>
            <a:ext uri="{FF2B5EF4-FFF2-40B4-BE49-F238E27FC236}">
              <a16:creationId xmlns:a16="http://schemas.microsoft.com/office/drawing/2014/main" id="{171286F4-BAC7-4AAC-9AF4-0F43EB8C6C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142875</xdr:colOff>
      <xdr:row>1</xdr:row>
      <xdr:rowOff>103187</xdr:rowOff>
    </xdr:from>
    <xdr:ext cx="1669211" cy="436563"/>
    <xdr:pic>
      <xdr:nvPicPr>
        <xdr:cNvPr id="3" name="Imagem 2">
          <a:extLst>
            <a:ext uri="{FF2B5EF4-FFF2-40B4-BE49-F238E27FC236}">
              <a16:creationId xmlns:a16="http://schemas.microsoft.com/office/drawing/2014/main" id="{45479930-CFBB-4A2A-BDB8-F65B645BB6B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293687"/>
          <a:ext cx="1669211" cy="436563"/>
        </a:xfrm>
        <a:prstGeom prst="rect">
          <a:avLst/>
        </a:prstGeom>
      </xdr:spPr>
    </xdr:pic>
    <xdr:clientData/>
  </xdr:oneCellAnchor>
  <xdr:twoCellAnchor>
    <xdr:from>
      <xdr:col>9</xdr:col>
      <xdr:colOff>333375</xdr:colOff>
      <xdr:row>17</xdr:row>
      <xdr:rowOff>47625</xdr:rowOff>
    </xdr:from>
    <xdr:to>
      <xdr:col>11</xdr:col>
      <xdr:colOff>690563</xdr:colOff>
      <xdr:row>20</xdr:row>
      <xdr:rowOff>166688</xdr:rowOff>
    </xdr:to>
    <xdr:sp macro="" textlink="">
      <xdr:nvSpPr>
        <xdr:cNvPr id="4" name="CaixaDeTexto 3">
          <a:extLst>
            <a:ext uri="{FF2B5EF4-FFF2-40B4-BE49-F238E27FC236}">
              <a16:creationId xmlns:a16="http://schemas.microsoft.com/office/drawing/2014/main" id="{38265C95-96BF-487A-92EC-38108698124A}"/>
            </a:ext>
          </a:extLst>
        </xdr:cNvPr>
        <xdr:cNvSpPr txBox="1"/>
      </xdr:nvSpPr>
      <xdr:spPr>
        <a:xfrm>
          <a:off x="5819775" y="3286125"/>
          <a:ext cx="1490663" cy="69056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200" b="1"/>
            <a:t>Atenção:</a:t>
          </a:r>
        </a:p>
        <a:p>
          <a:r>
            <a:rPr lang="pt-BR" sz="1100"/>
            <a:t>Somente altere as células que estão amarelas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87923</xdr:colOff>
      <xdr:row>103</xdr:row>
      <xdr:rowOff>4884</xdr:rowOff>
    </xdr:from>
    <xdr:to>
      <xdr:col>14</xdr:col>
      <xdr:colOff>791306</xdr:colOff>
      <xdr:row>113</xdr:row>
      <xdr:rowOff>7327</xdr:rowOff>
    </xdr:to>
    <xdr:graphicFrame macro="">
      <xdr:nvGraphicFramePr>
        <xdr:cNvPr id="21" name="Gráfico 20">
          <a:extLst>
            <a:ext uri="{FF2B5EF4-FFF2-40B4-BE49-F238E27FC236}">
              <a16:creationId xmlns:a16="http://schemas.microsoft.com/office/drawing/2014/main" id="{1838CB63-4FE1-46F9-A891-CCA6C96AD9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79375</xdr:colOff>
      <xdr:row>92</xdr:row>
      <xdr:rowOff>63500</xdr:rowOff>
    </xdr:from>
    <xdr:to>
      <xdr:col>14</xdr:col>
      <xdr:colOff>801688</xdr:colOff>
      <xdr:row>102</xdr:row>
      <xdr:rowOff>0</xdr:rowOff>
    </xdr:to>
    <xdr:graphicFrame macro="">
      <xdr:nvGraphicFramePr>
        <xdr:cNvPr id="3" name="Gráfico 2">
          <a:extLst>
            <a:ext uri="{FF2B5EF4-FFF2-40B4-BE49-F238E27FC236}">
              <a16:creationId xmlns:a16="http://schemas.microsoft.com/office/drawing/2014/main" id="{C9DF2CB3-CA5C-489A-8E9C-DAB816BC3B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159860</xdr:colOff>
      <xdr:row>14</xdr:row>
      <xdr:rowOff>164523</xdr:rowOff>
    </xdr:from>
    <xdr:to>
      <xdr:col>14</xdr:col>
      <xdr:colOff>722701</xdr:colOff>
      <xdr:row>25</xdr:row>
      <xdr:rowOff>5994</xdr:rowOff>
    </xdr:to>
    <xdr:graphicFrame macro="">
      <xdr:nvGraphicFramePr>
        <xdr:cNvPr id="4" name="Gráfico 3">
          <a:extLst>
            <a:ext uri="{FF2B5EF4-FFF2-40B4-BE49-F238E27FC236}">
              <a16:creationId xmlns:a16="http://schemas.microsoft.com/office/drawing/2014/main" id="{50E0E539-73A1-4C8B-A491-C361116CDD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153866</xdr:colOff>
      <xdr:row>4</xdr:row>
      <xdr:rowOff>1</xdr:rowOff>
    </xdr:from>
    <xdr:to>
      <xdr:col>14</xdr:col>
      <xdr:colOff>732692</xdr:colOff>
      <xdr:row>14</xdr:row>
      <xdr:rowOff>1</xdr:rowOff>
    </xdr:to>
    <xdr:graphicFrame macro="">
      <xdr:nvGraphicFramePr>
        <xdr:cNvPr id="5" name="Gráfico 4">
          <a:extLst>
            <a:ext uri="{FF2B5EF4-FFF2-40B4-BE49-F238E27FC236}">
              <a16:creationId xmlns:a16="http://schemas.microsoft.com/office/drawing/2014/main" id="{6D7F4B0E-A0EF-4934-ABA8-8455D331C5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115887</xdr:colOff>
      <xdr:row>59</xdr:row>
      <xdr:rowOff>52386</xdr:rowOff>
    </xdr:from>
    <xdr:to>
      <xdr:col>14</xdr:col>
      <xdr:colOff>752475</xdr:colOff>
      <xdr:row>69</xdr:row>
      <xdr:rowOff>0</xdr:rowOff>
    </xdr:to>
    <xdr:graphicFrame macro="">
      <xdr:nvGraphicFramePr>
        <xdr:cNvPr id="6" name="Gráfico 5">
          <a:extLst>
            <a:ext uri="{FF2B5EF4-FFF2-40B4-BE49-F238E27FC236}">
              <a16:creationId xmlns:a16="http://schemas.microsoft.com/office/drawing/2014/main" id="{ECBB273B-E309-4809-A619-DB4F36D59E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204786</xdr:colOff>
      <xdr:row>114</xdr:row>
      <xdr:rowOff>188910</xdr:rowOff>
    </xdr:from>
    <xdr:to>
      <xdr:col>22</xdr:col>
      <xdr:colOff>150812</xdr:colOff>
      <xdr:row>127</xdr:row>
      <xdr:rowOff>47625</xdr:rowOff>
    </xdr:to>
    <xdr:graphicFrame macro="">
      <xdr:nvGraphicFramePr>
        <xdr:cNvPr id="7" name="Gráfico 6">
          <a:extLst>
            <a:ext uri="{FF2B5EF4-FFF2-40B4-BE49-F238E27FC236}">
              <a16:creationId xmlns:a16="http://schemas.microsoft.com/office/drawing/2014/main" id="{B0F7B6D3-47FE-44EE-8602-8275833BB1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125554</xdr:colOff>
      <xdr:row>69</xdr:row>
      <xdr:rowOff>174627</xdr:rowOff>
    </xdr:from>
    <xdr:to>
      <xdr:col>14</xdr:col>
      <xdr:colOff>817561</xdr:colOff>
      <xdr:row>80</xdr:row>
      <xdr:rowOff>0</xdr:rowOff>
    </xdr:to>
    <xdr:graphicFrame macro="">
      <xdr:nvGraphicFramePr>
        <xdr:cNvPr id="8" name="Gráfico 7">
          <a:extLst>
            <a:ext uri="{FF2B5EF4-FFF2-40B4-BE49-F238E27FC236}">
              <a16:creationId xmlns:a16="http://schemas.microsoft.com/office/drawing/2014/main" id="{10D08F8B-8065-457E-BD2D-B800B7599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119062</xdr:colOff>
      <xdr:row>81</xdr:row>
      <xdr:rowOff>0</xdr:rowOff>
    </xdr:from>
    <xdr:to>
      <xdr:col>14</xdr:col>
      <xdr:colOff>785814</xdr:colOff>
      <xdr:row>91</xdr:row>
      <xdr:rowOff>7938</xdr:rowOff>
    </xdr:to>
    <xdr:graphicFrame macro="">
      <xdr:nvGraphicFramePr>
        <xdr:cNvPr id="9" name="Gráfico 8">
          <a:extLst>
            <a:ext uri="{FF2B5EF4-FFF2-40B4-BE49-F238E27FC236}">
              <a16:creationId xmlns:a16="http://schemas.microsoft.com/office/drawing/2014/main" id="{30DF44EC-37C9-4E6C-A072-AA8BB25BB4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159327</xdr:colOff>
      <xdr:row>25</xdr:row>
      <xdr:rowOff>182562</xdr:rowOff>
    </xdr:from>
    <xdr:to>
      <xdr:col>14</xdr:col>
      <xdr:colOff>736023</xdr:colOff>
      <xdr:row>36</xdr:row>
      <xdr:rowOff>9380</xdr:rowOff>
    </xdr:to>
    <xdr:graphicFrame macro="">
      <xdr:nvGraphicFramePr>
        <xdr:cNvPr id="10" name="Gráfico 9">
          <a:extLst>
            <a:ext uri="{FF2B5EF4-FFF2-40B4-BE49-F238E27FC236}">
              <a16:creationId xmlns:a16="http://schemas.microsoft.com/office/drawing/2014/main" id="{617447CF-0D68-49FB-AA35-B12D5BEAF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158749</xdr:colOff>
      <xdr:row>37</xdr:row>
      <xdr:rowOff>23814</xdr:rowOff>
    </xdr:from>
    <xdr:to>
      <xdr:col>14</xdr:col>
      <xdr:colOff>746125</xdr:colOff>
      <xdr:row>47</xdr:row>
      <xdr:rowOff>7939</xdr:rowOff>
    </xdr:to>
    <xdr:graphicFrame macro="">
      <xdr:nvGraphicFramePr>
        <xdr:cNvPr id="11" name="Gráfico 10">
          <a:extLst>
            <a:ext uri="{FF2B5EF4-FFF2-40B4-BE49-F238E27FC236}">
              <a16:creationId xmlns:a16="http://schemas.microsoft.com/office/drawing/2014/main" id="{00ADEF69-FA6D-43C0-9403-18FF9B57D8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153987</xdr:colOff>
      <xdr:row>48</xdr:row>
      <xdr:rowOff>34922</xdr:rowOff>
    </xdr:from>
    <xdr:to>
      <xdr:col>14</xdr:col>
      <xdr:colOff>762001</xdr:colOff>
      <xdr:row>58</xdr:row>
      <xdr:rowOff>55563</xdr:rowOff>
    </xdr:to>
    <xdr:graphicFrame macro="">
      <xdr:nvGraphicFramePr>
        <xdr:cNvPr id="12" name="Gráfico 11">
          <a:extLst>
            <a:ext uri="{FF2B5EF4-FFF2-40B4-BE49-F238E27FC236}">
              <a16:creationId xmlns:a16="http://schemas.microsoft.com/office/drawing/2014/main" id="{EAC5A6A3-C2AC-469C-BC87-4D16476F36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13</xdr:col>
      <xdr:colOff>531812</xdr:colOff>
      <xdr:row>4</xdr:row>
      <xdr:rowOff>23811</xdr:rowOff>
    </xdr:from>
    <xdr:to>
      <xdr:col>19</xdr:col>
      <xdr:colOff>127000</xdr:colOff>
      <xdr:row>16</xdr:row>
      <xdr:rowOff>47624</xdr:rowOff>
    </xdr:to>
    <xdr:graphicFrame macro="">
      <xdr:nvGraphicFramePr>
        <xdr:cNvPr id="2" name="Gráfico 1">
          <a:extLst>
            <a:ext uri="{FF2B5EF4-FFF2-40B4-BE49-F238E27FC236}">
              <a16:creationId xmlns:a16="http://schemas.microsoft.com/office/drawing/2014/main" id="{E6EB7095-A2FF-473D-98C5-8DC9BBD9FE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517525</xdr:colOff>
      <xdr:row>17</xdr:row>
      <xdr:rowOff>33336</xdr:rowOff>
    </xdr:from>
    <xdr:to>
      <xdr:col>19</xdr:col>
      <xdr:colOff>112713</xdr:colOff>
      <xdr:row>29</xdr:row>
      <xdr:rowOff>57149</xdr:rowOff>
    </xdr:to>
    <xdr:graphicFrame macro="">
      <xdr:nvGraphicFramePr>
        <xdr:cNvPr id="3" name="Gráfico 2">
          <a:extLst>
            <a:ext uri="{FF2B5EF4-FFF2-40B4-BE49-F238E27FC236}">
              <a16:creationId xmlns:a16="http://schemas.microsoft.com/office/drawing/2014/main" id="{28F7F337-02FC-4732-8EC4-8F7D8B0C71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495545</xdr:colOff>
      <xdr:row>30</xdr:row>
      <xdr:rowOff>12088</xdr:rowOff>
    </xdr:from>
    <xdr:to>
      <xdr:col>19</xdr:col>
      <xdr:colOff>90733</xdr:colOff>
      <xdr:row>42</xdr:row>
      <xdr:rowOff>35901</xdr:rowOff>
    </xdr:to>
    <xdr:graphicFrame macro="">
      <xdr:nvGraphicFramePr>
        <xdr:cNvPr id="4" name="Gráfico 3">
          <a:extLst>
            <a:ext uri="{FF2B5EF4-FFF2-40B4-BE49-F238E27FC236}">
              <a16:creationId xmlns:a16="http://schemas.microsoft.com/office/drawing/2014/main" id="{0E5D149E-CAAA-4E2D-BBD1-8687254B95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488951</xdr:colOff>
      <xdr:row>43</xdr:row>
      <xdr:rowOff>14286</xdr:rowOff>
    </xdr:from>
    <xdr:to>
      <xdr:col>19</xdr:col>
      <xdr:colOff>84139</xdr:colOff>
      <xdr:row>55</xdr:row>
      <xdr:rowOff>38099</xdr:rowOff>
    </xdr:to>
    <xdr:graphicFrame macro="">
      <xdr:nvGraphicFramePr>
        <xdr:cNvPr id="5" name="Gráfico 4">
          <a:extLst>
            <a:ext uri="{FF2B5EF4-FFF2-40B4-BE49-F238E27FC236}">
              <a16:creationId xmlns:a16="http://schemas.microsoft.com/office/drawing/2014/main" id="{B2F8BBBF-B146-4410-BCC9-8C188968ED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482357</xdr:colOff>
      <xdr:row>56</xdr:row>
      <xdr:rowOff>29672</xdr:rowOff>
    </xdr:from>
    <xdr:to>
      <xdr:col>19</xdr:col>
      <xdr:colOff>77545</xdr:colOff>
      <xdr:row>68</xdr:row>
      <xdr:rowOff>53485</xdr:rowOff>
    </xdr:to>
    <xdr:graphicFrame macro="">
      <xdr:nvGraphicFramePr>
        <xdr:cNvPr id="6" name="Gráfico 5">
          <a:extLst>
            <a:ext uri="{FF2B5EF4-FFF2-40B4-BE49-F238E27FC236}">
              <a16:creationId xmlns:a16="http://schemas.microsoft.com/office/drawing/2014/main" id="{BC5D75C5-EA71-4D8C-8550-5687910148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87923</xdr:colOff>
      <xdr:row>103</xdr:row>
      <xdr:rowOff>4884</xdr:rowOff>
    </xdr:from>
    <xdr:to>
      <xdr:col>14</xdr:col>
      <xdr:colOff>791306</xdr:colOff>
      <xdr:row>113</xdr:row>
      <xdr:rowOff>7327</xdr:rowOff>
    </xdr:to>
    <xdr:graphicFrame macro="">
      <xdr:nvGraphicFramePr>
        <xdr:cNvPr id="2" name="Gráfico 1">
          <a:extLst>
            <a:ext uri="{FF2B5EF4-FFF2-40B4-BE49-F238E27FC236}">
              <a16:creationId xmlns:a16="http://schemas.microsoft.com/office/drawing/2014/main" id="{8D83BAC5-DE5B-4D58-AF10-8E639361D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79375</xdr:colOff>
      <xdr:row>92</xdr:row>
      <xdr:rowOff>63500</xdr:rowOff>
    </xdr:from>
    <xdr:to>
      <xdr:col>14</xdr:col>
      <xdr:colOff>801688</xdr:colOff>
      <xdr:row>102</xdr:row>
      <xdr:rowOff>0</xdr:rowOff>
    </xdr:to>
    <xdr:graphicFrame macro="">
      <xdr:nvGraphicFramePr>
        <xdr:cNvPr id="3" name="Gráfico 2">
          <a:extLst>
            <a:ext uri="{FF2B5EF4-FFF2-40B4-BE49-F238E27FC236}">
              <a16:creationId xmlns:a16="http://schemas.microsoft.com/office/drawing/2014/main" id="{EDC6E486-ECDF-476D-935E-CFD282591B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159860</xdr:colOff>
      <xdr:row>14</xdr:row>
      <xdr:rowOff>164523</xdr:rowOff>
    </xdr:from>
    <xdr:to>
      <xdr:col>14</xdr:col>
      <xdr:colOff>722701</xdr:colOff>
      <xdr:row>25</xdr:row>
      <xdr:rowOff>5994</xdr:rowOff>
    </xdr:to>
    <xdr:graphicFrame macro="">
      <xdr:nvGraphicFramePr>
        <xdr:cNvPr id="4" name="Gráfico 3">
          <a:extLst>
            <a:ext uri="{FF2B5EF4-FFF2-40B4-BE49-F238E27FC236}">
              <a16:creationId xmlns:a16="http://schemas.microsoft.com/office/drawing/2014/main" id="{FF3279C4-63F5-4B24-B4AF-536380E8CB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153866</xdr:colOff>
      <xdr:row>4</xdr:row>
      <xdr:rowOff>1</xdr:rowOff>
    </xdr:from>
    <xdr:to>
      <xdr:col>14</xdr:col>
      <xdr:colOff>732692</xdr:colOff>
      <xdr:row>14</xdr:row>
      <xdr:rowOff>1</xdr:rowOff>
    </xdr:to>
    <xdr:graphicFrame macro="">
      <xdr:nvGraphicFramePr>
        <xdr:cNvPr id="5" name="Gráfico 4">
          <a:extLst>
            <a:ext uri="{FF2B5EF4-FFF2-40B4-BE49-F238E27FC236}">
              <a16:creationId xmlns:a16="http://schemas.microsoft.com/office/drawing/2014/main" id="{5F86C280-7C18-4526-9BE5-9E99719F0F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115887</xdr:colOff>
      <xdr:row>59</xdr:row>
      <xdr:rowOff>52386</xdr:rowOff>
    </xdr:from>
    <xdr:to>
      <xdr:col>14</xdr:col>
      <xdr:colOff>752475</xdr:colOff>
      <xdr:row>69</xdr:row>
      <xdr:rowOff>0</xdr:rowOff>
    </xdr:to>
    <xdr:graphicFrame macro="">
      <xdr:nvGraphicFramePr>
        <xdr:cNvPr id="6" name="Gráfico 5">
          <a:extLst>
            <a:ext uri="{FF2B5EF4-FFF2-40B4-BE49-F238E27FC236}">
              <a16:creationId xmlns:a16="http://schemas.microsoft.com/office/drawing/2014/main" id="{02883886-CAD7-464C-B905-F151A59E44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204786</xdr:colOff>
      <xdr:row>114</xdr:row>
      <xdr:rowOff>188910</xdr:rowOff>
    </xdr:from>
    <xdr:to>
      <xdr:col>22</xdr:col>
      <xdr:colOff>150812</xdr:colOff>
      <xdr:row>127</xdr:row>
      <xdr:rowOff>47625</xdr:rowOff>
    </xdr:to>
    <xdr:graphicFrame macro="">
      <xdr:nvGraphicFramePr>
        <xdr:cNvPr id="7" name="Gráfico 6">
          <a:extLst>
            <a:ext uri="{FF2B5EF4-FFF2-40B4-BE49-F238E27FC236}">
              <a16:creationId xmlns:a16="http://schemas.microsoft.com/office/drawing/2014/main" id="{0E813CD8-1E72-417D-926A-4DFE4EE072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125554</xdr:colOff>
      <xdr:row>69</xdr:row>
      <xdr:rowOff>174627</xdr:rowOff>
    </xdr:from>
    <xdr:to>
      <xdr:col>14</xdr:col>
      <xdr:colOff>817561</xdr:colOff>
      <xdr:row>80</xdr:row>
      <xdr:rowOff>0</xdr:rowOff>
    </xdr:to>
    <xdr:graphicFrame macro="">
      <xdr:nvGraphicFramePr>
        <xdr:cNvPr id="8" name="Gráfico 7">
          <a:extLst>
            <a:ext uri="{FF2B5EF4-FFF2-40B4-BE49-F238E27FC236}">
              <a16:creationId xmlns:a16="http://schemas.microsoft.com/office/drawing/2014/main" id="{D08684D8-906E-47EC-9E21-B87BB07AE5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119062</xdr:colOff>
      <xdr:row>81</xdr:row>
      <xdr:rowOff>0</xdr:rowOff>
    </xdr:from>
    <xdr:to>
      <xdr:col>14</xdr:col>
      <xdr:colOff>785814</xdr:colOff>
      <xdr:row>91</xdr:row>
      <xdr:rowOff>7938</xdr:rowOff>
    </xdr:to>
    <xdr:graphicFrame macro="">
      <xdr:nvGraphicFramePr>
        <xdr:cNvPr id="9" name="Gráfico 8">
          <a:extLst>
            <a:ext uri="{FF2B5EF4-FFF2-40B4-BE49-F238E27FC236}">
              <a16:creationId xmlns:a16="http://schemas.microsoft.com/office/drawing/2014/main" id="{FC72213C-60CA-48FA-B989-FABCCBF17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159327</xdr:colOff>
      <xdr:row>26</xdr:row>
      <xdr:rowOff>15875</xdr:rowOff>
    </xdr:from>
    <xdr:to>
      <xdr:col>14</xdr:col>
      <xdr:colOff>736023</xdr:colOff>
      <xdr:row>36</xdr:row>
      <xdr:rowOff>33193</xdr:rowOff>
    </xdr:to>
    <xdr:graphicFrame macro="">
      <xdr:nvGraphicFramePr>
        <xdr:cNvPr id="10" name="Gráfico 9">
          <a:extLst>
            <a:ext uri="{FF2B5EF4-FFF2-40B4-BE49-F238E27FC236}">
              <a16:creationId xmlns:a16="http://schemas.microsoft.com/office/drawing/2014/main" id="{2FEDF742-B5F1-4A64-8704-1275494F38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158748</xdr:colOff>
      <xdr:row>37</xdr:row>
      <xdr:rowOff>31751</xdr:rowOff>
    </xdr:from>
    <xdr:to>
      <xdr:col>14</xdr:col>
      <xdr:colOff>746124</xdr:colOff>
      <xdr:row>47</xdr:row>
      <xdr:rowOff>15876</xdr:rowOff>
    </xdr:to>
    <xdr:graphicFrame macro="">
      <xdr:nvGraphicFramePr>
        <xdr:cNvPr id="11" name="Gráfico 10">
          <a:extLst>
            <a:ext uri="{FF2B5EF4-FFF2-40B4-BE49-F238E27FC236}">
              <a16:creationId xmlns:a16="http://schemas.microsoft.com/office/drawing/2014/main" id="{824E5A1C-ACDE-43C8-A53C-5362B88AA3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153987</xdr:colOff>
      <xdr:row>48</xdr:row>
      <xdr:rowOff>34922</xdr:rowOff>
    </xdr:from>
    <xdr:to>
      <xdr:col>14</xdr:col>
      <xdr:colOff>762001</xdr:colOff>
      <xdr:row>58</xdr:row>
      <xdr:rowOff>55563</xdr:rowOff>
    </xdr:to>
    <xdr:graphicFrame macro="">
      <xdr:nvGraphicFramePr>
        <xdr:cNvPr id="12" name="Gráfico 11">
          <a:extLst>
            <a:ext uri="{FF2B5EF4-FFF2-40B4-BE49-F238E27FC236}">
              <a16:creationId xmlns:a16="http://schemas.microsoft.com/office/drawing/2014/main" id="{6AA58609-83F7-4767-A375-D2E99CC4C5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531812</xdr:colOff>
      <xdr:row>4</xdr:row>
      <xdr:rowOff>23811</xdr:rowOff>
    </xdr:from>
    <xdr:to>
      <xdr:col>19</xdr:col>
      <xdr:colOff>127000</xdr:colOff>
      <xdr:row>16</xdr:row>
      <xdr:rowOff>47624</xdr:rowOff>
    </xdr:to>
    <xdr:graphicFrame macro="">
      <xdr:nvGraphicFramePr>
        <xdr:cNvPr id="2" name="Gráfico 1">
          <a:extLst>
            <a:ext uri="{FF2B5EF4-FFF2-40B4-BE49-F238E27FC236}">
              <a16:creationId xmlns:a16="http://schemas.microsoft.com/office/drawing/2014/main" id="{1CE1BCA2-14C3-4623-9D3E-F3484F82EE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517525</xdr:colOff>
      <xdr:row>17</xdr:row>
      <xdr:rowOff>33336</xdr:rowOff>
    </xdr:from>
    <xdr:to>
      <xdr:col>19</xdr:col>
      <xdr:colOff>112713</xdr:colOff>
      <xdr:row>29</xdr:row>
      <xdr:rowOff>57149</xdr:rowOff>
    </xdr:to>
    <xdr:graphicFrame macro="">
      <xdr:nvGraphicFramePr>
        <xdr:cNvPr id="3" name="Gráfico 2">
          <a:extLst>
            <a:ext uri="{FF2B5EF4-FFF2-40B4-BE49-F238E27FC236}">
              <a16:creationId xmlns:a16="http://schemas.microsoft.com/office/drawing/2014/main" id="{004372F8-3C53-46E7-BBD2-1CC4C29558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495545</xdr:colOff>
      <xdr:row>30</xdr:row>
      <xdr:rowOff>12088</xdr:rowOff>
    </xdr:from>
    <xdr:to>
      <xdr:col>19</xdr:col>
      <xdr:colOff>90733</xdr:colOff>
      <xdr:row>42</xdr:row>
      <xdr:rowOff>35901</xdr:rowOff>
    </xdr:to>
    <xdr:graphicFrame macro="">
      <xdr:nvGraphicFramePr>
        <xdr:cNvPr id="4" name="Gráfico 3">
          <a:extLst>
            <a:ext uri="{FF2B5EF4-FFF2-40B4-BE49-F238E27FC236}">
              <a16:creationId xmlns:a16="http://schemas.microsoft.com/office/drawing/2014/main" id="{7524A167-C486-4558-BFCE-A235A78BAD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488951</xdr:colOff>
      <xdr:row>43</xdr:row>
      <xdr:rowOff>14286</xdr:rowOff>
    </xdr:from>
    <xdr:to>
      <xdr:col>19</xdr:col>
      <xdr:colOff>84139</xdr:colOff>
      <xdr:row>55</xdr:row>
      <xdr:rowOff>38099</xdr:rowOff>
    </xdr:to>
    <xdr:graphicFrame macro="">
      <xdr:nvGraphicFramePr>
        <xdr:cNvPr id="5" name="Gráfico 4">
          <a:extLst>
            <a:ext uri="{FF2B5EF4-FFF2-40B4-BE49-F238E27FC236}">
              <a16:creationId xmlns:a16="http://schemas.microsoft.com/office/drawing/2014/main" id="{CB1FD293-2CF7-41BA-8A17-E4FA55F20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482357</xdr:colOff>
      <xdr:row>56</xdr:row>
      <xdr:rowOff>29672</xdr:rowOff>
    </xdr:from>
    <xdr:to>
      <xdr:col>19</xdr:col>
      <xdr:colOff>77545</xdr:colOff>
      <xdr:row>68</xdr:row>
      <xdr:rowOff>53485</xdr:rowOff>
    </xdr:to>
    <xdr:graphicFrame macro="">
      <xdr:nvGraphicFramePr>
        <xdr:cNvPr id="6" name="Gráfico 5">
          <a:extLst>
            <a:ext uri="{FF2B5EF4-FFF2-40B4-BE49-F238E27FC236}">
              <a16:creationId xmlns:a16="http://schemas.microsoft.com/office/drawing/2014/main" id="{6B1B21F6-01CB-43CA-9A80-BE2780CFE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47015</xdr:colOff>
      <xdr:row>6</xdr:row>
      <xdr:rowOff>71682</xdr:rowOff>
    </xdr:from>
    <xdr:to>
      <xdr:col>7</xdr:col>
      <xdr:colOff>381978</xdr:colOff>
      <xdr:row>17</xdr:row>
      <xdr:rowOff>20340</xdr:rowOff>
    </xdr:to>
    <xdr:pic>
      <xdr:nvPicPr>
        <xdr:cNvPr id="3" name="Imagem 2">
          <a:extLst>
            <a:ext uri="{FF2B5EF4-FFF2-40B4-BE49-F238E27FC236}">
              <a16:creationId xmlns:a16="http://schemas.microsoft.com/office/drawing/2014/main" id="{C286CB2D-D32E-46E5-A9AD-74FFB165A4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1203" y="1413120"/>
          <a:ext cx="4002088" cy="2044158"/>
        </a:xfrm>
        <a:prstGeom prst="rect">
          <a:avLst/>
        </a:prstGeom>
      </xdr:spPr>
    </xdr:pic>
    <xdr:clientData/>
  </xdr:twoCellAnchor>
  <xdr:twoCellAnchor editAs="oneCell">
    <xdr:from>
      <xdr:col>0</xdr:col>
      <xdr:colOff>480767</xdr:colOff>
      <xdr:row>51</xdr:row>
      <xdr:rowOff>189890</xdr:rowOff>
    </xdr:from>
    <xdr:to>
      <xdr:col>9</xdr:col>
      <xdr:colOff>568489</xdr:colOff>
      <xdr:row>66</xdr:row>
      <xdr:rowOff>103187</xdr:rowOff>
    </xdr:to>
    <xdr:pic>
      <xdr:nvPicPr>
        <xdr:cNvPr id="7" name="Imagem 6">
          <a:extLst>
            <a:ext uri="{FF2B5EF4-FFF2-40B4-BE49-F238E27FC236}">
              <a16:creationId xmlns:a16="http://schemas.microsoft.com/office/drawing/2014/main" id="{7E104253-A6FA-483B-8C49-7DF7EEB27A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0767" y="9913328"/>
          <a:ext cx="5461410" cy="2770797"/>
        </a:xfrm>
        <a:prstGeom prst="rect">
          <a:avLst/>
        </a:prstGeom>
      </xdr:spPr>
    </xdr:pic>
    <xdr:clientData/>
  </xdr:twoCellAnchor>
  <xdr:twoCellAnchor editAs="oneCell">
    <xdr:from>
      <xdr:col>1</xdr:col>
      <xdr:colOff>131884</xdr:colOff>
      <xdr:row>35</xdr:row>
      <xdr:rowOff>58004</xdr:rowOff>
    </xdr:from>
    <xdr:to>
      <xdr:col>9</xdr:col>
      <xdr:colOff>759558</xdr:colOff>
      <xdr:row>49</xdr:row>
      <xdr:rowOff>186278</xdr:rowOff>
    </xdr:to>
    <xdr:pic>
      <xdr:nvPicPr>
        <xdr:cNvPr id="9" name="Imagem 8">
          <a:extLst>
            <a:ext uri="{FF2B5EF4-FFF2-40B4-BE49-F238E27FC236}">
              <a16:creationId xmlns:a16="http://schemas.microsoft.com/office/drawing/2014/main" id="{5249EF61-B8C9-46B7-9803-9E7F7C2E3E3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16072" y="6733442"/>
          <a:ext cx="5519616" cy="2795274"/>
        </a:xfrm>
        <a:prstGeom prst="rect">
          <a:avLst/>
        </a:prstGeom>
      </xdr:spPr>
    </xdr:pic>
    <xdr:clientData/>
  </xdr:twoCellAnchor>
  <xdr:twoCellAnchor editAs="oneCell">
    <xdr:from>
      <xdr:col>0</xdr:col>
      <xdr:colOff>72346</xdr:colOff>
      <xdr:row>19</xdr:row>
      <xdr:rowOff>115397</xdr:rowOff>
    </xdr:from>
    <xdr:to>
      <xdr:col>10</xdr:col>
      <xdr:colOff>365735</xdr:colOff>
      <xdr:row>31</xdr:row>
      <xdr:rowOff>71437</xdr:rowOff>
    </xdr:to>
    <xdr:pic>
      <xdr:nvPicPr>
        <xdr:cNvPr id="11" name="Imagem 10">
          <a:extLst>
            <a:ext uri="{FF2B5EF4-FFF2-40B4-BE49-F238E27FC236}">
              <a16:creationId xmlns:a16="http://schemas.microsoft.com/office/drawing/2014/main" id="{D3A3AC21-8188-4907-9175-C441994ADDC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2346" y="3933335"/>
          <a:ext cx="6468764" cy="2242040"/>
        </a:xfrm>
        <a:prstGeom prst="rect">
          <a:avLst/>
        </a:prstGeom>
      </xdr:spPr>
    </xdr:pic>
    <xdr:clientData/>
  </xdr:twoCellAnchor>
  <xdr:oneCellAnchor>
    <xdr:from>
      <xdr:col>0</xdr:col>
      <xdr:colOff>95251</xdr:colOff>
      <xdr:row>0</xdr:row>
      <xdr:rowOff>103188</xdr:rowOff>
    </xdr:from>
    <xdr:ext cx="1222375" cy="319698"/>
    <xdr:pic>
      <xdr:nvPicPr>
        <xdr:cNvPr id="12" name="Imagem 11">
          <a:extLst>
            <a:ext uri="{FF2B5EF4-FFF2-40B4-BE49-F238E27FC236}">
              <a16:creationId xmlns:a16="http://schemas.microsoft.com/office/drawing/2014/main" id="{6010F257-7A42-4DD6-BE70-412377D8C60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1" y="103188"/>
          <a:ext cx="1222375" cy="319698"/>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Daniel Moreira Braga de Lima" id="{1EEC6E4E-CED2-4884-8846-4310394B4A15}" userId="833272260ae5a3f0" providerId="Windows Live"/>
</personList>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7" dT="2018-12-24T14:01:09.80" personId="{1EEC6E4E-CED2-4884-8846-4310394B4A15}" id="{51F68E03-F196-4DBC-8B29-E5AAB18ADCD1}">
    <text>Stop valor financeiro</text>
  </threadedComment>
  <threadedComment ref="B9" dT="2018-12-24T14:12:49.98" personId="{1EEC6E4E-CED2-4884-8846-4310394B4A15}" id="{0E712426-5E65-4455-8A17-F3ABDEC35242}">
    <text>Margem requerida da corretora para cada contrato</text>
  </threadedComment>
  <threadedComment ref="B13" dT="2019-02-17T23:18:30.22" personId="{1EEC6E4E-CED2-4884-8846-4310394B4A15}" id="{4D86DD5E-3C45-4612-9D79-F5A6C73137ED}">
    <text>Multiplicador mini índice</text>
  </threadedComment>
</ThreadedComments>
</file>

<file path=xl/threadedComments/threadedComment2.xml><?xml version="1.0" encoding="utf-8"?>
<ThreadedComments xmlns="http://schemas.microsoft.com/office/spreadsheetml/2018/threadedcomments" xmlns:x="http://schemas.openxmlformats.org/spreadsheetml/2006/main">
  <threadedComment ref="B7" dT="2018-12-24T14:01:09.80" personId="{1EEC6E4E-CED2-4884-8846-4310394B4A15}" id="{1A3E67FB-869C-4BE4-B502-23D1FA5F4711}">
    <text>Stop valor financeiro</text>
  </threadedComment>
  <threadedComment ref="B9" dT="2018-12-24T14:12:49.98" personId="{1EEC6E4E-CED2-4884-8846-4310394B4A15}" id="{3F00BCFE-14CB-4468-8862-734F9A01D3BD}">
    <text>Margem requerida da corretora para cada contrato</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obobolsa.com.br/"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robobolsa.com.br/"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C8606-B634-42EC-8077-20449551054B}">
  <sheetPr>
    <tabColor rgb="FF92D050"/>
  </sheetPr>
  <dimension ref="A1:AK55"/>
  <sheetViews>
    <sheetView zoomScale="120" zoomScaleNormal="120" workbookViewId="0">
      <selection activeCell="E9" sqref="E9"/>
    </sheetView>
  </sheetViews>
  <sheetFormatPr defaultRowHeight="15" x14ac:dyDescent="0.25"/>
  <cols>
    <col min="1" max="1" width="29.28515625" style="7" customWidth="1"/>
    <col min="2" max="2" width="13.85546875" bestFit="1" customWidth="1"/>
    <col min="3" max="3" width="12.7109375" bestFit="1" customWidth="1"/>
    <col min="4" max="4" width="8.7109375" customWidth="1"/>
    <col min="5" max="5" width="9.85546875" bestFit="1" customWidth="1"/>
    <col min="6" max="6" width="9" bestFit="1" customWidth="1"/>
    <col min="7" max="7" width="11.140625" bestFit="1" customWidth="1"/>
    <col min="8" max="8" width="8.7109375" bestFit="1" customWidth="1"/>
    <col min="9" max="9" width="8.28515625" bestFit="1" customWidth="1"/>
    <col min="10" max="10" width="12.7109375" bestFit="1" customWidth="1"/>
    <col min="11" max="11" width="8.7109375" bestFit="1" customWidth="1"/>
    <col min="12" max="12" width="12.5703125" bestFit="1" customWidth="1"/>
    <col min="13" max="13" width="6.42578125" bestFit="1" customWidth="1"/>
    <col min="14" max="14" width="8.5703125" bestFit="1" customWidth="1"/>
    <col min="15" max="15" width="7.85546875" customWidth="1"/>
    <col min="16" max="16" width="8" bestFit="1" customWidth="1"/>
    <col min="17" max="17" width="9.140625" bestFit="1" customWidth="1"/>
    <col min="18" max="18" width="10.85546875" bestFit="1" customWidth="1"/>
    <col min="19" max="19" width="8.5703125" bestFit="1" customWidth="1"/>
    <col min="20" max="20" width="9.5703125" bestFit="1" customWidth="1"/>
    <col min="21" max="22" width="9.140625" customWidth="1"/>
    <col min="23" max="23" width="13.28515625" bestFit="1" customWidth="1"/>
    <col min="24" max="24" width="10.140625" bestFit="1" customWidth="1"/>
    <col min="25" max="25" width="13.28515625" bestFit="1" customWidth="1"/>
    <col min="27" max="27" width="9.5703125" bestFit="1" customWidth="1"/>
    <col min="28" max="28" width="7.7109375" customWidth="1"/>
    <col min="29" max="29" width="6.42578125" customWidth="1"/>
    <col min="30" max="30" width="5.5703125" customWidth="1"/>
    <col min="31" max="31" width="14" bestFit="1" customWidth="1"/>
    <col min="32" max="32" width="10.85546875" bestFit="1" customWidth="1"/>
    <col min="33" max="33" width="12.5703125" bestFit="1" customWidth="1"/>
    <col min="34" max="34" width="8.5703125" bestFit="1" customWidth="1"/>
  </cols>
  <sheetData>
    <row r="1" spans="1:37" s="7" customFormat="1" x14ac:dyDescent="0.25"/>
    <row r="2" spans="1:37" ht="22.5" customHeight="1" x14ac:dyDescent="0.25">
      <c r="B2" s="85" t="s">
        <v>11</v>
      </c>
      <c r="C2" s="86"/>
      <c r="D2" s="86"/>
      <c r="E2" s="86"/>
      <c r="F2" s="86"/>
      <c r="G2" s="86"/>
      <c r="H2" s="86"/>
      <c r="I2" s="86"/>
      <c r="J2" s="86"/>
      <c r="K2" s="86"/>
      <c r="L2" s="86"/>
      <c r="M2" s="86"/>
      <c r="N2" s="86"/>
      <c r="O2" s="86"/>
      <c r="P2" s="86"/>
      <c r="Q2" s="86"/>
      <c r="R2" s="87"/>
      <c r="S2" s="7"/>
      <c r="T2" s="7"/>
      <c r="U2" s="7"/>
      <c r="V2" s="7"/>
      <c r="W2" s="7"/>
      <c r="X2" s="7"/>
      <c r="Y2" s="7"/>
      <c r="Z2" s="7"/>
      <c r="AA2" s="7"/>
      <c r="AB2" s="7"/>
      <c r="AC2" s="7"/>
      <c r="AD2" s="7"/>
      <c r="AE2" s="7"/>
      <c r="AF2" s="7"/>
      <c r="AG2" s="7"/>
      <c r="AH2" s="7"/>
      <c r="AI2" s="7"/>
      <c r="AJ2" s="7"/>
      <c r="AK2" s="7"/>
    </row>
    <row r="3" spans="1:37" x14ac:dyDescent="0.25">
      <c r="B3" s="18" t="s">
        <v>0</v>
      </c>
      <c r="C3" s="8" t="s">
        <v>1</v>
      </c>
      <c r="D3" s="8" t="s">
        <v>14</v>
      </c>
      <c r="E3" s="8" t="s">
        <v>2</v>
      </c>
      <c r="F3" s="8" t="s">
        <v>18</v>
      </c>
      <c r="G3" s="8" t="s">
        <v>20</v>
      </c>
      <c r="H3" s="8" t="s">
        <v>1</v>
      </c>
      <c r="I3" s="8" t="s">
        <v>58</v>
      </c>
      <c r="J3" s="43" t="s">
        <v>17</v>
      </c>
      <c r="K3" s="8" t="s">
        <v>4</v>
      </c>
      <c r="L3" s="8" t="s">
        <v>5</v>
      </c>
      <c r="M3" s="11">
        <v>15000</v>
      </c>
      <c r="N3" s="14" t="s">
        <v>12</v>
      </c>
      <c r="O3" s="16" t="s">
        <v>9</v>
      </c>
      <c r="P3" s="17"/>
      <c r="Q3" s="3" t="s">
        <v>57</v>
      </c>
      <c r="R3" s="42" t="s">
        <v>10</v>
      </c>
      <c r="S3" s="7"/>
      <c r="T3" s="7"/>
      <c r="U3" s="7"/>
      <c r="V3" s="7"/>
      <c r="W3" s="7"/>
      <c r="X3" s="7"/>
      <c r="Y3" s="7"/>
      <c r="Z3" s="7"/>
      <c r="AA3" s="7"/>
      <c r="AB3" s="7"/>
      <c r="AC3" s="7"/>
      <c r="AD3" s="7"/>
      <c r="AE3" s="7"/>
      <c r="AF3" s="7"/>
      <c r="AG3" s="7"/>
      <c r="AH3" s="7"/>
      <c r="AI3" s="7"/>
      <c r="AJ3" s="7"/>
      <c r="AK3" s="7"/>
    </row>
    <row r="4" spans="1:37" x14ac:dyDescent="0.25">
      <c r="B4" s="21">
        <v>1500</v>
      </c>
      <c r="C4" s="1" t="s">
        <v>13</v>
      </c>
      <c r="D4" s="19">
        <v>100</v>
      </c>
      <c r="E4" s="13">
        <v>1</v>
      </c>
      <c r="F4" s="19">
        <v>0</v>
      </c>
      <c r="G4" s="15">
        <f t="shared" ref="G4:G14" si="0">(E4*F4)*0.2</f>
        <v>0</v>
      </c>
      <c r="H4" s="11">
        <f>D4</f>
        <v>100</v>
      </c>
      <c r="I4" s="11">
        <v>0</v>
      </c>
      <c r="J4" s="15">
        <f>(B4*E4)*B14</f>
        <v>300</v>
      </c>
      <c r="K4" s="6">
        <f t="shared" ref="K4:K14" si="1">IF(H4=0,0,E4)</f>
        <v>1</v>
      </c>
      <c r="L4" s="6">
        <f>IF(K4=0,0,K4)</f>
        <v>1</v>
      </c>
      <c r="M4" s="11">
        <f>M3</f>
        <v>15000</v>
      </c>
      <c r="N4" s="11">
        <f t="shared" ref="N4:N14" si="2">M4*E4</f>
        <v>15000</v>
      </c>
      <c r="O4" s="11">
        <f>M4</f>
        <v>15000</v>
      </c>
      <c r="P4" s="11">
        <f>I4</f>
        <v>0</v>
      </c>
      <c r="Q4" s="5">
        <f>D4-F4</f>
        <v>100</v>
      </c>
      <c r="R4" s="7"/>
      <c r="S4" s="7"/>
      <c r="T4" s="7"/>
      <c r="U4" s="7"/>
      <c r="V4" s="7"/>
      <c r="W4" s="7"/>
      <c r="X4" s="7"/>
      <c r="Y4" s="7"/>
      <c r="Z4" s="7"/>
      <c r="AA4" s="7"/>
      <c r="AB4" s="7"/>
      <c r="AC4" s="7"/>
      <c r="AD4" s="7"/>
      <c r="AE4" s="7"/>
      <c r="AF4" s="7"/>
      <c r="AG4" s="7"/>
      <c r="AH4" s="7"/>
      <c r="AI4" s="7"/>
      <c r="AJ4" s="7"/>
      <c r="AK4" s="7"/>
    </row>
    <row r="5" spans="1:37" x14ac:dyDescent="0.25">
      <c r="A5" s="24" t="s">
        <v>21</v>
      </c>
      <c r="B5" s="18" t="s">
        <v>15</v>
      </c>
      <c r="C5" s="2" t="s">
        <v>24</v>
      </c>
      <c r="D5" s="19">
        <v>130</v>
      </c>
      <c r="E5" s="13">
        <v>1</v>
      </c>
      <c r="F5" s="19">
        <v>0</v>
      </c>
      <c r="G5" s="15">
        <f t="shared" si="0"/>
        <v>0</v>
      </c>
      <c r="H5" s="11">
        <f>IF(D5&gt;0,D4+D5,0)</f>
        <v>230</v>
      </c>
      <c r="I5" s="11">
        <f>IF(D5&gt;0,D5,0)</f>
        <v>130</v>
      </c>
      <c r="J5" s="15">
        <f>IF(D5&gt;0,((B4-D5)*E5)*B14,0)</f>
        <v>274</v>
      </c>
      <c r="K5" s="6">
        <f t="shared" si="1"/>
        <v>1</v>
      </c>
      <c r="L5" s="6">
        <f>IF(K5=0,0,K5+K4)</f>
        <v>2</v>
      </c>
      <c r="M5" s="11">
        <f t="shared" ref="M5:M14" si="3">IF(I5=0,0,$M$3+I5)</f>
        <v>15130</v>
      </c>
      <c r="N5" s="11">
        <f t="shared" si="2"/>
        <v>15130</v>
      </c>
      <c r="O5" s="11">
        <f>IF(H5=0,0,(N5+N4)/(E4+E5))</f>
        <v>15065</v>
      </c>
      <c r="P5" s="5">
        <f t="shared" ref="P5:P14" si="4">IF(I5=0,0,O5-$M$3)</f>
        <v>65</v>
      </c>
      <c r="Q5" s="5">
        <f t="shared" ref="Q5:Q14" si="5">O5-F5</f>
        <v>15065</v>
      </c>
      <c r="R5" s="41">
        <f t="shared" ref="R5:R14" si="6">IF(P5=0,0,100%-(P5/H5))</f>
        <v>0.71739130434782616</v>
      </c>
      <c r="S5" s="7"/>
      <c r="T5" s="7"/>
      <c r="U5" s="7"/>
      <c r="V5" s="7"/>
      <c r="W5" s="7"/>
      <c r="X5" s="7"/>
      <c r="Y5" s="7"/>
      <c r="Z5" s="7"/>
      <c r="AA5" s="7"/>
      <c r="AB5" s="7"/>
      <c r="AC5" s="7"/>
      <c r="AD5" s="7"/>
      <c r="AE5" s="7"/>
      <c r="AF5" s="7"/>
      <c r="AG5" s="7"/>
      <c r="AH5" s="7"/>
      <c r="AI5" s="7"/>
      <c r="AJ5" s="7"/>
      <c r="AK5" s="7"/>
    </row>
    <row r="6" spans="1:37" x14ac:dyDescent="0.25">
      <c r="B6" s="11">
        <f>B4+D4</f>
        <v>1600</v>
      </c>
      <c r="C6" s="2" t="s">
        <v>25</v>
      </c>
      <c r="D6" s="19">
        <v>250</v>
      </c>
      <c r="E6" s="13">
        <v>2</v>
      </c>
      <c r="F6" s="19">
        <v>0</v>
      </c>
      <c r="G6" s="15">
        <f t="shared" si="0"/>
        <v>0</v>
      </c>
      <c r="H6" s="11">
        <f>IF(D6&gt;0,D4+D5+D6,0)</f>
        <v>480</v>
      </c>
      <c r="I6" s="11">
        <f>IF(D6&gt;0,D6+D5,0)</f>
        <v>380</v>
      </c>
      <c r="J6" s="15">
        <f>IF(D6&gt;0,((B4-D6-D5)*E6)*B14,0)</f>
        <v>448</v>
      </c>
      <c r="K6" s="6">
        <f t="shared" si="1"/>
        <v>2</v>
      </c>
      <c r="L6" s="6">
        <f>IF(K6=0,0,K6+K5+K4)</f>
        <v>4</v>
      </c>
      <c r="M6" s="11">
        <f t="shared" si="3"/>
        <v>15380</v>
      </c>
      <c r="N6" s="11">
        <f t="shared" si="2"/>
        <v>30760</v>
      </c>
      <c r="O6" s="11">
        <f>IF(H6=0,0,(N4+N6+N5)/(E5+E6+E4))</f>
        <v>15222.5</v>
      </c>
      <c r="P6" s="5">
        <f t="shared" si="4"/>
        <v>222.5</v>
      </c>
      <c r="Q6" s="5">
        <f t="shared" si="5"/>
        <v>15222.5</v>
      </c>
      <c r="R6" s="41">
        <f t="shared" si="6"/>
        <v>0.53645833333333326</v>
      </c>
      <c r="S6" s="7"/>
      <c r="T6" s="7"/>
      <c r="U6" s="7"/>
      <c r="V6" s="7"/>
      <c r="W6" s="7"/>
      <c r="X6" s="7"/>
      <c r="Y6" s="7"/>
      <c r="Z6" s="7"/>
      <c r="AA6" s="7"/>
      <c r="AB6" s="7"/>
      <c r="AC6" s="7"/>
      <c r="AD6" s="7"/>
      <c r="AE6" s="7"/>
      <c r="AF6" s="7"/>
      <c r="AG6" s="7"/>
      <c r="AH6" s="7"/>
      <c r="AI6" s="7"/>
      <c r="AJ6" s="7"/>
      <c r="AK6" s="7"/>
    </row>
    <row r="7" spans="1:37" x14ac:dyDescent="0.25">
      <c r="B7" s="18" t="s">
        <v>7</v>
      </c>
      <c r="C7" s="2" t="s">
        <v>26</v>
      </c>
      <c r="D7" s="19">
        <v>350</v>
      </c>
      <c r="E7" s="13">
        <v>4</v>
      </c>
      <c r="F7" s="19">
        <v>0</v>
      </c>
      <c r="G7" s="15">
        <f t="shared" si="0"/>
        <v>0</v>
      </c>
      <c r="H7" s="11">
        <f>IF(D7&gt;0,D7+D6+D5+D4,0)</f>
        <v>830</v>
      </c>
      <c r="I7" s="11">
        <f>IF(D7&gt;0,D7+D6+D5,0)</f>
        <v>730</v>
      </c>
      <c r="J7" s="15">
        <f>IF(D7&gt;0,((B4-D7-D6-D5)*E7)*B14,0)</f>
        <v>616</v>
      </c>
      <c r="K7" s="6">
        <f t="shared" si="1"/>
        <v>4</v>
      </c>
      <c r="L7" s="6">
        <f>IF(K7=0,0,K7+K6+K5+K4)</f>
        <v>8</v>
      </c>
      <c r="M7" s="11">
        <f t="shared" si="3"/>
        <v>15730</v>
      </c>
      <c r="N7" s="11">
        <f t="shared" si="2"/>
        <v>62920</v>
      </c>
      <c r="O7" s="11">
        <f>IF(H7=0,0,(N4+N5+N7+N6)/(E6+E7+E5+E4))</f>
        <v>15476.25</v>
      </c>
      <c r="P7" s="5">
        <f t="shared" si="4"/>
        <v>476.25</v>
      </c>
      <c r="Q7" s="5">
        <f t="shared" si="5"/>
        <v>15476.25</v>
      </c>
      <c r="R7" s="41">
        <f t="shared" si="6"/>
        <v>0.4262048192771084</v>
      </c>
      <c r="S7" s="7"/>
      <c r="T7" s="7"/>
      <c r="U7" s="7"/>
      <c r="V7" s="7"/>
      <c r="W7" s="7"/>
      <c r="X7" s="7"/>
      <c r="Y7" s="7"/>
      <c r="Z7" s="7"/>
      <c r="AA7" s="7"/>
      <c r="AB7" s="7"/>
      <c r="AC7" s="7"/>
      <c r="AD7" s="7"/>
      <c r="AE7" s="7"/>
      <c r="AF7" s="7"/>
      <c r="AG7" s="7"/>
      <c r="AH7" s="7"/>
      <c r="AI7" s="7"/>
      <c r="AJ7" s="7"/>
      <c r="AK7" s="7"/>
    </row>
    <row r="8" spans="1:37" x14ac:dyDescent="0.25">
      <c r="B8" s="9">
        <f>SUM(J4:J14)</f>
        <v>2230</v>
      </c>
      <c r="C8" s="2" t="s">
        <v>27</v>
      </c>
      <c r="D8" s="19">
        <v>400</v>
      </c>
      <c r="E8" s="13">
        <v>8</v>
      </c>
      <c r="F8" s="19">
        <v>0</v>
      </c>
      <c r="G8" s="15">
        <f t="shared" si="0"/>
        <v>0</v>
      </c>
      <c r="H8" s="11">
        <f>IF(D8&gt;0,D8+D7+D6+D5+D4,0)</f>
        <v>1230</v>
      </c>
      <c r="I8" s="11">
        <f>IF(D8&gt;0,D8+D7+D6+D5,0)</f>
        <v>1130</v>
      </c>
      <c r="J8" s="15">
        <f>IF(D8&gt;0,((B4-D8-D7-D6-D5)*E8)*B14,0)</f>
        <v>592</v>
      </c>
      <c r="K8" s="6">
        <f t="shared" si="1"/>
        <v>8</v>
      </c>
      <c r="L8" s="6">
        <f>IF(K8=0,0,K8+K7+K6+K5+K4)</f>
        <v>16</v>
      </c>
      <c r="M8" s="11">
        <f t="shared" si="3"/>
        <v>16130</v>
      </c>
      <c r="N8" s="11">
        <f t="shared" si="2"/>
        <v>129040</v>
      </c>
      <c r="O8" s="11">
        <f>IF(H8=0,0,(N4+N5+N6+N8+N7)/(E7+E8+E6+E5+E4))</f>
        <v>15803.125</v>
      </c>
      <c r="P8" s="5">
        <f t="shared" si="4"/>
        <v>803.125</v>
      </c>
      <c r="Q8" s="5">
        <f t="shared" si="5"/>
        <v>15803.125</v>
      </c>
      <c r="R8" s="12">
        <f t="shared" si="6"/>
        <v>0.34705284552845528</v>
      </c>
      <c r="S8" s="7"/>
      <c r="T8" s="7"/>
      <c r="U8" s="7"/>
      <c r="V8" s="7"/>
      <c r="W8" s="7"/>
      <c r="X8" s="7"/>
      <c r="Y8" s="7"/>
      <c r="Z8" s="7"/>
      <c r="AA8" s="7"/>
      <c r="AB8" s="7"/>
      <c r="AC8" s="7"/>
      <c r="AD8" s="7"/>
      <c r="AE8" s="7"/>
      <c r="AF8" s="7"/>
      <c r="AG8" s="7"/>
      <c r="AH8" s="7"/>
      <c r="AI8" s="7"/>
      <c r="AJ8" s="7"/>
      <c r="AK8" s="7"/>
    </row>
    <row r="9" spans="1:37" x14ac:dyDescent="0.25">
      <c r="B9" s="3" t="s">
        <v>8</v>
      </c>
      <c r="C9" s="2" t="s">
        <v>28</v>
      </c>
      <c r="D9" s="19">
        <v>0</v>
      </c>
      <c r="E9" s="13">
        <v>0</v>
      </c>
      <c r="F9" s="19">
        <v>0</v>
      </c>
      <c r="G9" s="15">
        <f t="shared" si="0"/>
        <v>0</v>
      </c>
      <c r="H9" s="11">
        <f>IF(D9&gt;0,D9+D8+D7+D6+D5+D4,0)</f>
        <v>0</v>
      </c>
      <c r="I9" s="11">
        <f>IF(D9&gt;0,SUM(D5:D9),0)</f>
        <v>0</v>
      </c>
      <c r="J9" s="15">
        <f>IF(D9&gt;0,((B4-D9-D8-D7-D6-D5)*E9)*B14,0)</f>
        <v>0</v>
      </c>
      <c r="K9" s="6">
        <f t="shared" si="1"/>
        <v>0</v>
      </c>
      <c r="L9" s="6">
        <f>IF(K9=0,0,K9+K8+K7+K6+K5+K4)</f>
        <v>0</v>
      </c>
      <c r="M9" s="11">
        <f t="shared" si="3"/>
        <v>0</v>
      </c>
      <c r="N9" s="11">
        <f t="shared" si="2"/>
        <v>0</v>
      </c>
      <c r="O9" s="11">
        <f>IF(H9=0,0,(N4+N5+N6+N8+N7+N9)/(E7+E8+E6+E5+E4+E9))</f>
        <v>0</v>
      </c>
      <c r="P9" s="5">
        <f t="shared" si="4"/>
        <v>0</v>
      </c>
      <c r="Q9" s="5">
        <f t="shared" si="5"/>
        <v>0</v>
      </c>
      <c r="R9" s="12">
        <f t="shared" si="6"/>
        <v>0</v>
      </c>
      <c r="S9" s="7"/>
      <c r="T9" s="7"/>
      <c r="U9" s="7"/>
      <c r="V9" s="7"/>
      <c r="W9" s="7"/>
      <c r="X9" s="7"/>
      <c r="Y9" s="7"/>
      <c r="Z9" s="7"/>
      <c r="AA9" s="7"/>
      <c r="AB9" s="7"/>
      <c r="AC9" s="7"/>
      <c r="AD9" s="7"/>
      <c r="AE9" s="7"/>
      <c r="AF9" s="7"/>
      <c r="AG9" s="7"/>
      <c r="AH9" s="7"/>
      <c r="AI9" s="7"/>
      <c r="AJ9" s="7"/>
      <c r="AK9" s="7"/>
    </row>
    <row r="10" spans="1:37" x14ac:dyDescent="0.25">
      <c r="B10" s="10">
        <v>25</v>
      </c>
      <c r="C10" s="2" t="s">
        <v>29</v>
      </c>
      <c r="D10" s="19">
        <v>0</v>
      </c>
      <c r="E10" s="13">
        <v>0</v>
      </c>
      <c r="F10" s="19">
        <v>0</v>
      </c>
      <c r="G10" s="15">
        <f t="shared" si="0"/>
        <v>0</v>
      </c>
      <c r="H10" s="11">
        <f>IF(D10&gt;0,D10+D9+D8+D7+D6+D5+D4,0)</f>
        <v>0</v>
      </c>
      <c r="I10" s="11">
        <f>IF(D10&gt;0,SUM(D5:D10),0)</f>
        <v>0</v>
      </c>
      <c r="J10" s="15">
        <f>IF(D10&gt;0,((B4-D10-D9-D8-D7-D6-D5)*E10)*B14,0)</f>
        <v>0</v>
      </c>
      <c r="K10" s="6">
        <f t="shared" si="1"/>
        <v>0</v>
      </c>
      <c r="L10" s="6">
        <f>IF(K10=0,0,K10+K9+K8+K7+K6+K5+K4)</f>
        <v>0</v>
      </c>
      <c r="M10" s="11">
        <f t="shared" si="3"/>
        <v>0</v>
      </c>
      <c r="N10" s="11">
        <f t="shared" si="2"/>
        <v>0</v>
      </c>
      <c r="O10" s="11">
        <f>IF(H10=0,0,(N5+N6+N7+N9+N8+N10+N4)/(E8+E9+E7+E6+E5+E10+E4))</f>
        <v>0</v>
      </c>
      <c r="P10" s="5">
        <f t="shared" si="4"/>
        <v>0</v>
      </c>
      <c r="Q10" s="5">
        <f t="shared" si="5"/>
        <v>0</v>
      </c>
      <c r="R10" s="12">
        <f t="shared" si="6"/>
        <v>0</v>
      </c>
      <c r="S10" s="7"/>
      <c r="T10" s="7"/>
      <c r="U10" s="7"/>
      <c r="V10" s="7"/>
      <c r="W10" s="7"/>
      <c r="X10" s="7"/>
      <c r="Y10" s="7"/>
      <c r="Z10" s="7"/>
      <c r="AA10" s="7"/>
      <c r="AB10" s="7"/>
      <c r="AC10" s="7"/>
      <c r="AD10" s="7"/>
      <c r="AE10" s="7"/>
      <c r="AF10" s="7"/>
      <c r="AG10" s="7"/>
      <c r="AH10" s="7"/>
      <c r="AI10" s="7"/>
      <c r="AJ10" s="7"/>
      <c r="AK10" s="7"/>
    </row>
    <row r="11" spans="1:37" x14ac:dyDescent="0.25">
      <c r="B11" s="3" t="s">
        <v>6</v>
      </c>
      <c r="C11" s="2" t="s">
        <v>30</v>
      </c>
      <c r="D11" s="19">
        <v>0</v>
      </c>
      <c r="E11" s="13">
        <v>0</v>
      </c>
      <c r="F11" s="19">
        <v>0</v>
      </c>
      <c r="G11" s="15">
        <f t="shared" si="0"/>
        <v>0</v>
      </c>
      <c r="H11" s="11">
        <f>IF(D11&gt;0,D4+D11+D10+D9+D8+D7+D6+D5,0)</f>
        <v>0</v>
      </c>
      <c r="I11" s="11">
        <f>IF(D11&gt;0,SUM(D5:D11),0)</f>
        <v>0</v>
      </c>
      <c r="J11" s="15">
        <f>IF(D11&gt;0,((B4-D11-D5-D10-D9-D8-D7-D6)*E11)*B14,0)</f>
        <v>0</v>
      </c>
      <c r="K11" s="6">
        <f t="shared" si="1"/>
        <v>0</v>
      </c>
      <c r="L11" s="6">
        <f>IF(K11=0,0,K4+K11+K10+K9+K8+K7+K6+K5)</f>
        <v>0</v>
      </c>
      <c r="M11" s="11">
        <f t="shared" si="3"/>
        <v>0</v>
      </c>
      <c r="N11" s="11">
        <f t="shared" si="2"/>
        <v>0</v>
      </c>
      <c r="O11" s="11">
        <f>IF(H11=0,0,(N6+N7+N8+N10+N9+N11+N5+N4)/(E9+E10+E8+E7+E6+E11+E5+E4))</f>
        <v>0</v>
      </c>
      <c r="P11" s="5">
        <f t="shared" si="4"/>
        <v>0</v>
      </c>
      <c r="Q11" s="5">
        <f t="shared" si="5"/>
        <v>0</v>
      </c>
      <c r="R11" s="12">
        <f t="shared" si="6"/>
        <v>0</v>
      </c>
      <c r="S11" s="7"/>
      <c r="T11" s="7"/>
      <c r="U11" s="7"/>
      <c r="V11" s="7"/>
      <c r="W11" s="7"/>
      <c r="X11" s="7"/>
      <c r="Y11" s="7"/>
      <c r="Z11" s="7"/>
      <c r="AA11" s="7"/>
      <c r="AB11" s="7"/>
      <c r="AC11" s="7"/>
      <c r="AD11" s="7"/>
      <c r="AE11" s="7"/>
      <c r="AF11" s="7"/>
      <c r="AG11" s="7"/>
      <c r="AH11" s="7"/>
      <c r="AI11" s="7"/>
      <c r="AJ11" s="7"/>
      <c r="AK11" s="7"/>
    </row>
    <row r="12" spans="1:37" x14ac:dyDescent="0.25">
      <c r="B12" s="22">
        <f>MAX(L4:L10)*B10</f>
        <v>400</v>
      </c>
      <c r="C12" s="2" t="s">
        <v>31</v>
      </c>
      <c r="D12" s="19">
        <v>0</v>
      </c>
      <c r="E12" s="13">
        <v>0</v>
      </c>
      <c r="F12" s="19">
        <v>0</v>
      </c>
      <c r="G12" s="15">
        <f t="shared" si="0"/>
        <v>0</v>
      </c>
      <c r="H12" s="11">
        <f>IF(D12&gt;0,D4+D5+D12+D11+D10+D9+D8+D7+D6,0)</f>
        <v>0</v>
      </c>
      <c r="I12" s="11">
        <f>IF(D12&gt;0,SUM(D5:D12),0)</f>
        <v>0</v>
      </c>
      <c r="J12" s="15">
        <f>IF(D12&gt;0,((B4-D5-D12-D6-D11-D10-D9-D8-D7)*E12)*B14,0)</f>
        <v>0</v>
      </c>
      <c r="K12" s="6">
        <f t="shared" si="1"/>
        <v>0</v>
      </c>
      <c r="L12" s="6">
        <f>IF(K12=0,0,K4+K5+K12+K11+K10+K9+K8+K7+K6)</f>
        <v>0</v>
      </c>
      <c r="M12" s="11">
        <f t="shared" si="3"/>
        <v>0</v>
      </c>
      <c r="N12" s="11">
        <f t="shared" si="2"/>
        <v>0</v>
      </c>
      <c r="O12" s="11">
        <f>IF(H12=0,0,(N7+N8+N9+N11+N10+N12+N6+N5+N4)/(E10+E11+E9+E8+E7+E12+E6+E5+E4))</f>
        <v>0</v>
      </c>
      <c r="P12" s="5">
        <f t="shared" si="4"/>
        <v>0</v>
      </c>
      <c r="Q12" s="5">
        <f t="shared" si="5"/>
        <v>0</v>
      </c>
      <c r="R12" s="12">
        <f t="shared" si="6"/>
        <v>0</v>
      </c>
      <c r="S12" s="7"/>
      <c r="T12" s="7"/>
      <c r="U12" s="7"/>
      <c r="V12" s="7"/>
      <c r="W12" s="7"/>
      <c r="X12" s="7"/>
      <c r="Y12" s="7"/>
      <c r="Z12" s="7"/>
      <c r="AA12" s="7"/>
      <c r="AB12" s="7"/>
      <c r="AC12" s="7"/>
      <c r="AD12" s="7"/>
      <c r="AE12" s="7"/>
      <c r="AF12" s="7"/>
      <c r="AG12" s="7"/>
      <c r="AH12" s="7"/>
      <c r="AI12" s="7"/>
      <c r="AJ12" s="7"/>
      <c r="AK12" s="7"/>
    </row>
    <row r="13" spans="1:37" x14ac:dyDescent="0.25">
      <c r="B13" s="3" t="s">
        <v>16</v>
      </c>
      <c r="C13" s="2" t="s">
        <v>32</v>
      </c>
      <c r="D13" s="19">
        <v>0</v>
      </c>
      <c r="E13" s="13">
        <v>0</v>
      </c>
      <c r="F13" s="19">
        <v>0</v>
      </c>
      <c r="G13" s="15">
        <f t="shared" si="0"/>
        <v>0</v>
      </c>
      <c r="H13" s="11">
        <f>IF(D13&gt;0,D4+D5+D6+D13+D12+D11+D10+D9+D8+D7,0)</f>
        <v>0</v>
      </c>
      <c r="I13" s="11">
        <f>IF(D13&gt;0,SUM(D5:D13),0)</f>
        <v>0</v>
      </c>
      <c r="J13" s="15">
        <f>IF(D13&gt;0,((B4-D5-D6-D13-D7-D12-D11-D10-D9-D8)*E13)*B14,0)</f>
        <v>0</v>
      </c>
      <c r="K13" s="6">
        <f t="shared" si="1"/>
        <v>0</v>
      </c>
      <c r="L13" s="6">
        <f>IF(K13=0,0,K4+K5+K6+K13+K12+K11+K10+K9+K8+K7)</f>
        <v>0</v>
      </c>
      <c r="M13" s="11">
        <f t="shared" si="3"/>
        <v>0</v>
      </c>
      <c r="N13" s="11">
        <f t="shared" si="2"/>
        <v>0</v>
      </c>
      <c r="O13" s="11">
        <f>IF(H13=0,0,(N8+N9+N10+N12+N11+N13+N7+N6+N5+N4)/(E11+E12+E10+E9+E8+E13+E7+E6+E5+E4))</f>
        <v>0</v>
      </c>
      <c r="P13" s="5">
        <f t="shared" si="4"/>
        <v>0</v>
      </c>
      <c r="Q13" s="5">
        <f t="shared" si="5"/>
        <v>0</v>
      </c>
      <c r="R13" s="12">
        <f t="shared" si="6"/>
        <v>0</v>
      </c>
      <c r="S13" s="7"/>
      <c r="T13" s="7"/>
      <c r="U13" s="7"/>
      <c r="V13" s="7"/>
      <c r="W13" s="7"/>
      <c r="X13" s="7"/>
      <c r="Y13" s="7"/>
      <c r="Z13" s="7"/>
      <c r="AA13" s="7"/>
      <c r="AB13" s="7"/>
      <c r="AC13" s="7"/>
      <c r="AD13" s="7"/>
      <c r="AE13" s="7"/>
      <c r="AF13" s="7"/>
      <c r="AG13" s="7"/>
      <c r="AH13" s="7"/>
      <c r="AI13" s="7"/>
      <c r="AJ13" s="7"/>
      <c r="AK13" s="7"/>
    </row>
    <row r="14" spans="1:37" x14ac:dyDescent="0.25">
      <c r="B14" s="20">
        <v>0.2</v>
      </c>
      <c r="C14" s="2" t="s">
        <v>33</v>
      </c>
      <c r="D14" s="19">
        <v>0</v>
      </c>
      <c r="E14" s="13">
        <v>0</v>
      </c>
      <c r="F14" s="19">
        <v>0</v>
      </c>
      <c r="G14" s="15">
        <f t="shared" si="0"/>
        <v>0</v>
      </c>
      <c r="H14" s="11">
        <f>IF(D14&gt;0,D4+D5+D6+D7+D14+D13+D12+D11+D10+D9+D8,0)</f>
        <v>0</v>
      </c>
      <c r="I14" s="11">
        <f>IF(D14&gt;0,SUM(D5:D14),0)</f>
        <v>0</v>
      </c>
      <c r="J14" s="15">
        <f>IF(D14&gt;0,((B4-D5-D6-D7-D14-D8-D13-D12-D11-D10-D9)*E14)*B14,0)</f>
        <v>0</v>
      </c>
      <c r="K14" s="6">
        <f t="shared" si="1"/>
        <v>0</v>
      </c>
      <c r="L14" s="6">
        <f>IF(K14=0,0,K4+K5+K6+K7+K14+K13+K12+K11+K10+K9+K8)</f>
        <v>0</v>
      </c>
      <c r="M14" s="11">
        <f t="shared" si="3"/>
        <v>0</v>
      </c>
      <c r="N14" s="11">
        <f t="shared" si="2"/>
        <v>0</v>
      </c>
      <c r="O14" s="11">
        <f>IF(H14=0,0,(N9+N10+N11+N13+N12+N14+N8+N7+N6+N5+N4)/(E12+E13+E11+E10+E9+E14+E8+E7+E6+E5+E4))</f>
        <v>0</v>
      </c>
      <c r="P14" s="5">
        <f t="shared" si="4"/>
        <v>0</v>
      </c>
      <c r="Q14" s="5">
        <f t="shared" si="5"/>
        <v>0</v>
      </c>
      <c r="R14" s="12">
        <f t="shared" si="6"/>
        <v>0</v>
      </c>
      <c r="S14" s="7"/>
      <c r="T14" s="7"/>
      <c r="U14" s="7"/>
      <c r="V14" s="7"/>
      <c r="W14" s="7"/>
      <c r="X14" s="7"/>
      <c r="Y14" s="7"/>
      <c r="Z14" s="7"/>
      <c r="AA14" s="7"/>
      <c r="AB14" s="7"/>
      <c r="AC14" s="7"/>
      <c r="AD14" s="7"/>
      <c r="AE14" s="7"/>
      <c r="AF14" s="7"/>
      <c r="AG14" s="7"/>
      <c r="AH14" s="7"/>
      <c r="AI14" s="7"/>
      <c r="AJ14" s="7"/>
      <c r="AK14" s="7"/>
    </row>
    <row r="15" spans="1:37" x14ac:dyDescent="0.25">
      <c r="B15" s="7"/>
      <c r="C15" s="7"/>
      <c r="D15" s="7"/>
      <c r="E15" s="7"/>
      <c r="F15" s="7"/>
      <c r="G15" s="7"/>
      <c r="H15" s="7"/>
      <c r="I15" s="7"/>
      <c r="J15" s="4" t="s">
        <v>3</v>
      </c>
      <c r="K15" s="6">
        <f>SUM(K4:K14)</f>
        <v>16</v>
      </c>
      <c r="L15" s="7"/>
      <c r="M15" s="7"/>
      <c r="N15" s="7"/>
      <c r="O15" s="7"/>
      <c r="P15" s="7"/>
      <c r="Q15" s="7"/>
      <c r="R15" s="7"/>
      <c r="S15" s="7"/>
      <c r="T15" s="7"/>
      <c r="U15" s="7"/>
      <c r="V15" s="7"/>
      <c r="W15" s="7"/>
      <c r="X15" s="7"/>
      <c r="Y15" s="7"/>
      <c r="Z15" s="7"/>
      <c r="AA15" s="7"/>
      <c r="AB15" s="7"/>
      <c r="AC15" s="7"/>
      <c r="AD15" s="7"/>
      <c r="AE15" s="7"/>
      <c r="AF15" s="7"/>
      <c r="AG15" s="7"/>
      <c r="AH15" s="7"/>
      <c r="AI15" s="7"/>
      <c r="AJ15" s="7"/>
      <c r="AK15" s="7"/>
    </row>
    <row r="16" spans="1:37" x14ac:dyDescent="0.25">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spans="2:37" x14ac:dyDescent="0.25">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2:37" x14ac:dyDescent="0.2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2:37" x14ac:dyDescent="0.25">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2:37" x14ac:dyDescent="0.2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2:37" x14ac:dyDescent="0.25">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2:37" x14ac:dyDescent="0.25">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row r="23" spans="2:37" x14ac:dyDescent="0.2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2:37" x14ac:dyDescent="0.2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2:37" x14ac:dyDescent="0.2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2:37" x14ac:dyDescent="0.25">
      <c r="B26" s="7"/>
      <c r="C26" s="7"/>
      <c r="D26" s="7"/>
      <c r="E26" s="7"/>
      <c r="F26" s="7"/>
      <c r="G26" s="7"/>
      <c r="H26" s="7"/>
      <c r="I26" s="7"/>
      <c r="J26" s="7"/>
      <c r="K26" s="7"/>
      <c r="L26" s="7"/>
      <c r="M26" s="7"/>
      <c r="N26" s="23"/>
      <c r="O26" s="7"/>
      <c r="P26" s="7"/>
      <c r="Q26" s="7"/>
      <c r="R26" s="7"/>
      <c r="S26" s="7"/>
      <c r="T26" s="7"/>
      <c r="U26" s="7"/>
      <c r="V26" s="7"/>
      <c r="W26" s="7"/>
      <c r="X26" s="7"/>
      <c r="Y26" s="7"/>
      <c r="Z26" s="7"/>
      <c r="AA26" s="7"/>
      <c r="AB26" s="7"/>
      <c r="AC26" s="7"/>
      <c r="AD26" s="7"/>
      <c r="AE26" s="7"/>
      <c r="AF26" s="7"/>
      <c r="AG26" s="7"/>
      <c r="AH26" s="7"/>
      <c r="AI26" s="7"/>
      <c r="AJ26" s="7"/>
      <c r="AK26" s="7"/>
    </row>
    <row r="27" spans="2:37" x14ac:dyDescent="0.2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row>
    <row r="28" spans="2:37" x14ac:dyDescent="0.2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row>
    <row r="29" spans="2:37" x14ac:dyDescent="0.2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row>
    <row r="30" spans="2:37" x14ac:dyDescent="0.25">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row>
    <row r="31" spans="2:37" x14ac:dyDescent="0.25">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row>
    <row r="32" spans="2:37" x14ac:dyDescent="0.25">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row>
    <row r="33" spans="2:37" x14ac:dyDescent="0.25">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row>
    <row r="34" spans="2:37" x14ac:dyDescent="0.25">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row>
    <row r="35" spans="2:37" s="7" customFormat="1" x14ac:dyDescent="0.25"/>
    <row r="36" spans="2:37" s="7" customFormat="1" x14ac:dyDescent="0.25"/>
    <row r="37" spans="2:37" s="7" customFormat="1" x14ac:dyDescent="0.25"/>
    <row r="38" spans="2:37" s="7" customFormat="1" x14ac:dyDescent="0.25"/>
    <row r="39" spans="2:37" s="7" customFormat="1" x14ac:dyDescent="0.25"/>
    <row r="40" spans="2:37" s="7" customFormat="1" x14ac:dyDescent="0.25"/>
    <row r="41" spans="2:37" s="7" customFormat="1" x14ac:dyDescent="0.25"/>
    <row r="42" spans="2:37" s="7" customFormat="1" x14ac:dyDescent="0.25"/>
    <row r="43" spans="2:37" s="7" customFormat="1" x14ac:dyDescent="0.25"/>
    <row r="44" spans="2:37" s="7" customFormat="1" x14ac:dyDescent="0.25"/>
    <row r="45" spans="2:37" s="7" customFormat="1" x14ac:dyDescent="0.25"/>
    <row r="46" spans="2:37" s="7" customFormat="1" x14ac:dyDescent="0.25"/>
    <row r="47" spans="2:37" s="7" customFormat="1" x14ac:dyDescent="0.25"/>
    <row r="48" spans="2:37"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sheetData>
  <mergeCells count="1">
    <mergeCell ref="B2:R2"/>
  </mergeCells>
  <conditionalFormatting sqref="K4:K14">
    <cfRule type="cellIs" dxfId="35" priority="16" operator="equal">
      <formula>0</formula>
    </cfRule>
  </conditionalFormatting>
  <conditionalFormatting sqref="L4:L14">
    <cfRule type="cellIs" dxfId="34" priority="15" operator="equal">
      <formula>0</formula>
    </cfRule>
  </conditionalFormatting>
  <conditionalFormatting sqref="R5:R14">
    <cfRule type="cellIs" dxfId="33" priority="14" operator="equal">
      <formula>0</formula>
    </cfRule>
  </conditionalFormatting>
  <conditionalFormatting sqref="H4 H5:I14 D4:E14">
    <cfRule type="cellIs" dxfId="32" priority="17" operator="equal">
      <formula>0</formula>
    </cfRule>
    <cfRule type="cellIs" dxfId="31" priority="18" operator="greaterThan">
      <formula>#REF!</formula>
    </cfRule>
  </conditionalFormatting>
  <conditionalFormatting sqref="M4:M14">
    <cfRule type="cellIs" dxfId="30" priority="13" operator="equal">
      <formula>0</formula>
    </cfRule>
  </conditionalFormatting>
  <conditionalFormatting sqref="N4:N14">
    <cfRule type="cellIs" dxfId="29" priority="12" operator="equal">
      <formula>0</formula>
    </cfRule>
  </conditionalFormatting>
  <conditionalFormatting sqref="O4:O14">
    <cfRule type="cellIs" dxfId="28" priority="11" operator="equal">
      <formula>0</formula>
    </cfRule>
  </conditionalFormatting>
  <conditionalFormatting sqref="P5:Q14 Q4">
    <cfRule type="cellIs" dxfId="27" priority="10" operator="equal">
      <formula>0</formula>
    </cfRule>
  </conditionalFormatting>
  <conditionalFormatting sqref="J4:J14">
    <cfRule type="cellIs" dxfId="26" priority="8" operator="equal">
      <formula>0</formula>
    </cfRule>
    <cfRule type="cellIs" dxfId="25" priority="9" operator="greaterThan">
      <formula>#REF!</formula>
    </cfRule>
  </conditionalFormatting>
  <conditionalFormatting sqref="B6">
    <cfRule type="cellIs" dxfId="24" priority="6" operator="equal">
      <formula>0</formula>
    </cfRule>
    <cfRule type="cellIs" dxfId="23" priority="7" operator="greaterThan">
      <formula>#REF!</formula>
    </cfRule>
  </conditionalFormatting>
  <conditionalFormatting sqref="F4:F14">
    <cfRule type="cellIs" dxfId="22" priority="4" operator="equal">
      <formula>0</formula>
    </cfRule>
    <cfRule type="cellIs" dxfId="21" priority="5" operator="greaterThan">
      <formula>#REF!</formula>
    </cfRule>
  </conditionalFormatting>
  <conditionalFormatting sqref="G4:G14">
    <cfRule type="cellIs" dxfId="20" priority="2" operator="equal">
      <formula>0</formula>
    </cfRule>
    <cfRule type="cellIs" dxfId="19" priority="3" operator="greaterThan">
      <formula>#REF!</formula>
    </cfRule>
  </conditionalFormatting>
  <conditionalFormatting sqref="M3">
    <cfRule type="cellIs" dxfId="18" priority="1" operator="equal">
      <formula>0</formula>
    </cfRule>
  </conditionalFormatting>
  <hyperlinks>
    <hyperlink ref="A5" r:id="rId1" xr:uid="{E60BB210-C862-48F7-A086-23D9524F1F50}"/>
  </hyperlinks>
  <pageMargins left="0.511811024" right="0.511811024" top="0.78740157499999996" bottom="0.78740157499999996" header="0.31496062000000002" footer="0.31496062000000002"/>
  <pageSetup orientation="portrait" r:id="rId2"/>
  <ignoredErrors>
    <ignoredError sqref="I9:I14" formulaRange="1"/>
  </ignoredError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D4C40-0512-48AD-B93A-65D68D09F79B}">
  <sheetPr>
    <tabColor rgb="FF92D050"/>
  </sheetPr>
  <dimension ref="A1:AK55"/>
  <sheetViews>
    <sheetView zoomScale="120" zoomScaleNormal="120" workbookViewId="0">
      <selection activeCell="O21" sqref="O21"/>
    </sheetView>
  </sheetViews>
  <sheetFormatPr defaultRowHeight="15" x14ac:dyDescent="0.25"/>
  <cols>
    <col min="1" max="1" width="29.28515625" style="7" customWidth="1"/>
    <col min="2" max="2" width="13.85546875" bestFit="1" customWidth="1"/>
    <col min="3" max="3" width="12.7109375" bestFit="1" customWidth="1"/>
    <col min="4" max="4" width="8.7109375" customWidth="1"/>
    <col min="5" max="5" width="9.85546875" bestFit="1" customWidth="1"/>
    <col min="6" max="6" width="9.85546875" customWidth="1"/>
    <col min="7" max="7" width="11.140625" bestFit="1" customWidth="1"/>
    <col min="8" max="8" width="8.7109375" bestFit="1" customWidth="1"/>
    <col min="9" max="9" width="8.85546875" bestFit="1" customWidth="1"/>
    <col min="10" max="10" width="13.85546875" bestFit="1" customWidth="1"/>
    <col min="11" max="11" width="8.7109375" bestFit="1" customWidth="1"/>
    <col min="12" max="12" width="12.5703125" bestFit="1" customWidth="1"/>
    <col min="13" max="13" width="6.42578125" bestFit="1" customWidth="1"/>
    <col min="14" max="14" width="8.5703125" bestFit="1" customWidth="1"/>
    <col min="15" max="15" width="8.85546875" bestFit="1" customWidth="1"/>
    <col min="16" max="16" width="7" bestFit="1" customWidth="1"/>
    <col min="17" max="17" width="9.140625" bestFit="1" customWidth="1"/>
    <col min="18" max="18" width="10.85546875" bestFit="1" customWidth="1"/>
    <col min="19" max="19" width="8.5703125" bestFit="1" customWidth="1"/>
    <col min="20" max="20" width="9.5703125" bestFit="1" customWidth="1"/>
    <col min="21" max="22" width="9.140625" customWidth="1"/>
    <col min="23" max="23" width="13.28515625" bestFit="1" customWidth="1"/>
    <col min="24" max="24" width="10.140625" bestFit="1" customWidth="1"/>
    <col min="25" max="25" width="13.28515625" bestFit="1" customWidth="1"/>
    <col min="27" max="27" width="9.5703125" bestFit="1" customWidth="1"/>
    <col min="28" max="28" width="7.7109375" customWidth="1"/>
    <col min="29" max="29" width="6.42578125" customWidth="1"/>
    <col min="30" max="30" width="5.5703125" customWidth="1"/>
    <col min="31" max="31" width="14" bestFit="1" customWidth="1"/>
    <col min="32" max="32" width="10.85546875" bestFit="1" customWidth="1"/>
    <col min="33" max="33" width="12.5703125" bestFit="1" customWidth="1"/>
    <col min="34" max="34" width="8.5703125" bestFit="1" customWidth="1"/>
  </cols>
  <sheetData>
    <row r="1" spans="1:37" s="7" customFormat="1" x14ac:dyDescent="0.25"/>
    <row r="2" spans="1:37" ht="22.5" customHeight="1" x14ac:dyDescent="0.25">
      <c r="B2" s="85" t="s">
        <v>11</v>
      </c>
      <c r="C2" s="86"/>
      <c r="D2" s="86"/>
      <c r="E2" s="86"/>
      <c r="F2" s="86"/>
      <c r="G2" s="86"/>
      <c r="H2" s="86"/>
      <c r="I2" s="86"/>
      <c r="J2" s="86"/>
      <c r="K2" s="86"/>
      <c r="L2" s="86"/>
      <c r="M2" s="86"/>
      <c r="N2" s="86"/>
      <c r="O2" s="86"/>
      <c r="P2" s="86"/>
      <c r="Q2" s="86"/>
      <c r="R2" s="87"/>
      <c r="S2" s="7"/>
      <c r="T2" s="7"/>
      <c r="U2" s="7"/>
      <c r="V2" s="7"/>
      <c r="W2" s="7"/>
      <c r="X2" s="7"/>
      <c r="Y2" s="7"/>
      <c r="Z2" s="7"/>
      <c r="AA2" s="7"/>
      <c r="AB2" s="7"/>
      <c r="AC2" s="7"/>
      <c r="AD2" s="7"/>
      <c r="AE2" s="7"/>
      <c r="AF2" s="7"/>
      <c r="AG2" s="7"/>
      <c r="AH2" s="7"/>
      <c r="AI2" s="7"/>
      <c r="AJ2" s="7"/>
      <c r="AK2" s="7"/>
    </row>
    <row r="3" spans="1:37" x14ac:dyDescent="0.25">
      <c r="B3" s="18" t="s">
        <v>0</v>
      </c>
      <c r="C3" s="8" t="s">
        <v>1</v>
      </c>
      <c r="D3" s="8" t="s">
        <v>14</v>
      </c>
      <c r="E3" s="8" t="s">
        <v>2</v>
      </c>
      <c r="F3" s="8" t="s">
        <v>18</v>
      </c>
      <c r="G3" s="8" t="s">
        <v>20</v>
      </c>
      <c r="H3" s="8" t="s">
        <v>1</v>
      </c>
      <c r="I3" s="8" t="s">
        <v>74</v>
      </c>
      <c r="J3" s="43" t="s">
        <v>17</v>
      </c>
      <c r="K3" s="8" t="s">
        <v>4</v>
      </c>
      <c r="L3" s="8" t="s">
        <v>5</v>
      </c>
      <c r="M3" s="5">
        <v>5.5</v>
      </c>
      <c r="N3" s="14" t="s">
        <v>12</v>
      </c>
      <c r="O3" s="16" t="s">
        <v>9</v>
      </c>
      <c r="P3" s="17"/>
      <c r="Q3" s="53" t="s">
        <v>57</v>
      </c>
      <c r="R3" s="42" t="s">
        <v>10</v>
      </c>
      <c r="S3" s="7"/>
      <c r="T3" s="7"/>
      <c r="U3" s="7"/>
      <c r="V3" s="7"/>
      <c r="W3" s="7"/>
      <c r="X3" s="7"/>
      <c r="Y3" s="7"/>
      <c r="Z3" s="7"/>
      <c r="AA3" s="7"/>
      <c r="AB3" s="7"/>
      <c r="AC3" s="7"/>
      <c r="AD3" s="7"/>
      <c r="AE3" s="7"/>
      <c r="AF3" s="7"/>
      <c r="AG3" s="7"/>
      <c r="AH3" s="7"/>
      <c r="AI3" s="7"/>
      <c r="AJ3" s="7"/>
      <c r="AK3" s="7"/>
    </row>
    <row r="4" spans="1:37" x14ac:dyDescent="0.25">
      <c r="B4" s="21">
        <v>50</v>
      </c>
      <c r="C4" s="1" t="s">
        <v>13</v>
      </c>
      <c r="D4" s="19">
        <v>21</v>
      </c>
      <c r="E4" s="13">
        <v>1</v>
      </c>
      <c r="F4" s="19">
        <v>0</v>
      </c>
      <c r="G4" s="15">
        <f t="shared" ref="G4:G14" si="0">(E4*F4)*$B$14</f>
        <v>0</v>
      </c>
      <c r="H4" s="11">
        <f>D4</f>
        <v>21</v>
      </c>
      <c r="I4" s="11">
        <v>0</v>
      </c>
      <c r="J4" s="15">
        <f>(B4*E4)*B14</f>
        <v>500</v>
      </c>
      <c r="K4" s="6">
        <f t="shared" ref="K4:K14" si="1">IF(H4=0,0,E4)</f>
        <v>1</v>
      </c>
      <c r="L4" s="6">
        <f>IF(K4=0,0,K4)</f>
        <v>1</v>
      </c>
      <c r="M4" s="11">
        <f>M3+H4</f>
        <v>26.5</v>
      </c>
      <c r="N4" s="11">
        <f t="shared" ref="N4:N14" si="2">M4*E4</f>
        <v>26.5</v>
      </c>
      <c r="O4" s="11">
        <f>M4</f>
        <v>26.5</v>
      </c>
      <c r="P4" s="5">
        <f>H4</f>
        <v>21</v>
      </c>
      <c r="Q4" s="5">
        <f>D4-F4</f>
        <v>21</v>
      </c>
      <c r="R4" s="7"/>
      <c r="S4" s="7"/>
      <c r="T4" s="7"/>
      <c r="U4" s="7"/>
      <c r="V4" s="7"/>
      <c r="W4" s="7"/>
      <c r="X4" s="7"/>
      <c r="Y4" s="7"/>
      <c r="Z4" s="7"/>
      <c r="AA4" s="7"/>
      <c r="AB4" s="7"/>
      <c r="AC4" s="7"/>
      <c r="AD4" s="7"/>
      <c r="AE4" s="7"/>
      <c r="AF4" s="7"/>
      <c r="AG4" s="7"/>
      <c r="AH4" s="7"/>
      <c r="AI4" s="7"/>
      <c r="AJ4" s="7"/>
      <c r="AK4" s="7"/>
    </row>
    <row r="5" spans="1:37" x14ac:dyDescent="0.25">
      <c r="A5" s="24" t="s">
        <v>21</v>
      </c>
      <c r="B5" s="18" t="s">
        <v>15</v>
      </c>
      <c r="C5" s="2" t="s">
        <v>24</v>
      </c>
      <c r="D5" s="19">
        <v>6</v>
      </c>
      <c r="E5" s="13">
        <v>1</v>
      </c>
      <c r="F5" s="19">
        <v>0</v>
      </c>
      <c r="G5" s="15">
        <f t="shared" si="0"/>
        <v>0</v>
      </c>
      <c r="H5" s="11">
        <f>IF(D5&gt;0,D4+D5,0)</f>
        <v>27</v>
      </c>
      <c r="I5" s="11">
        <f>IF(D5&gt;0,D5,0)</f>
        <v>6</v>
      </c>
      <c r="J5" s="15">
        <f>IF(D5&gt;0,((B4-D5)*E5)*B14,0)</f>
        <v>440</v>
      </c>
      <c r="K5" s="6">
        <f t="shared" si="1"/>
        <v>1</v>
      </c>
      <c r="L5" s="6">
        <f>IF(K5=0,0,K5+K4)</f>
        <v>2</v>
      </c>
      <c r="M5" s="11">
        <f>IF(H5=0,0,M3+H5)</f>
        <v>32.5</v>
      </c>
      <c r="N5" s="11">
        <f t="shared" si="2"/>
        <v>32.5</v>
      </c>
      <c r="O5" s="11">
        <f>IF(H5=0,0,(N5+N4)/(E4+E5))</f>
        <v>29.5</v>
      </c>
      <c r="P5" s="5">
        <f>IF(H5=0,0,O5-M3)</f>
        <v>24</v>
      </c>
      <c r="Q5" s="5">
        <f t="shared" ref="Q5:Q14" si="3">O5-F5</f>
        <v>29.5</v>
      </c>
      <c r="R5" s="41">
        <f t="shared" ref="R5:R14" si="4">IF(P5=0,0,100%-(P5/H5))</f>
        <v>0.11111111111111116</v>
      </c>
      <c r="S5" s="7"/>
      <c r="T5" s="7"/>
      <c r="U5" s="7"/>
      <c r="V5" s="7"/>
      <c r="W5" s="7"/>
      <c r="X5" s="7"/>
      <c r="Y5" s="7"/>
      <c r="Z5" s="7"/>
      <c r="AA5" s="7"/>
      <c r="AB5" s="7"/>
      <c r="AC5" s="7"/>
      <c r="AD5" s="7"/>
      <c r="AE5" s="7"/>
      <c r="AF5" s="7"/>
      <c r="AG5" s="7"/>
      <c r="AH5" s="7"/>
      <c r="AI5" s="7"/>
      <c r="AJ5" s="7"/>
      <c r="AK5" s="7"/>
    </row>
    <row r="6" spans="1:37" x14ac:dyDescent="0.25">
      <c r="B6" s="11">
        <f>B4+D4</f>
        <v>71</v>
      </c>
      <c r="C6" s="2" t="s">
        <v>25</v>
      </c>
      <c r="D6" s="19">
        <v>16</v>
      </c>
      <c r="E6" s="13">
        <v>2</v>
      </c>
      <c r="F6" s="19">
        <v>0</v>
      </c>
      <c r="G6" s="15">
        <f t="shared" si="0"/>
        <v>0</v>
      </c>
      <c r="H6" s="11">
        <f>IF(D6&gt;0,D4+D5+D6,0)</f>
        <v>43</v>
      </c>
      <c r="I6" s="11">
        <f>IF(D6&gt;0,D6+D5,0)</f>
        <v>22</v>
      </c>
      <c r="J6" s="15">
        <f>IF(D6&gt;0,((B4-D6-D5)*E6)*B14,0)</f>
        <v>560</v>
      </c>
      <c r="K6" s="6">
        <f t="shared" si="1"/>
        <v>2</v>
      </c>
      <c r="L6" s="6">
        <f>IF(K6=0,0,K6+K5+K4)</f>
        <v>4</v>
      </c>
      <c r="M6" s="11">
        <f>IF(H6=0,0,M3+H6)</f>
        <v>48.5</v>
      </c>
      <c r="N6" s="11">
        <f t="shared" si="2"/>
        <v>97</v>
      </c>
      <c r="O6" s="11">
        <f>IF(H6=0,0,(N4+N6+N5)/(E5+E6+E4))</f>
        <v>39</v>
      </c>
      <c r="P6" s="5">
        <f>IF(H6=0,0,O6-M3)</f>
        <v>33.5</v>
      </c>
      <c r="Q6" s="5">
        <f t="shared" si="3"/>
        <v>39</v>
      </c>
      <c r="R6" s="41">
        <f t="shared" si="4"/>
        <v>0.22093023255813948</v>
      </c>
      <c r="S6" s="7"/>
      <c r="T6" s="7"/>
      <c r="U6" s="7"/>
      <c r="V6" s="7"/>
      <c r="W6" s="7"/>
      <c r="X6" s="7"/>
      <c r="Y6" s="7"/>
      <c r="Z6" s="7"/>
      <c r="AA6" s="7"/>
      <c r="AB6" s="7"/>
      <c r="AC6" s="7"/>
      <c r="AD6" s="7"/>
      <c r="AE6" s="7"/>
      <c r="AF6" s="7"/>
      <c r="AG6" s="7"/>
      <c r="AH6" s="7"/>
      <c r="AI6" s="7"/>
      <c r="AJ6" s="7"/>
      <c r="AK6" s="7"/>
    </row>
    <row r="7" spans="1:37" x14ac:dyDescent="0.25">
      <c r="B7" s="18" t="s">
        <v>7</v>
      </c>
      <c r="C7" s="2" t="s">
        <v>26</v>
      </c>
      <c r="D7" s="19">
        <v>15</v>
      </c>
      <c r="E7" s="13">
        <v>4</v>
      </c>
      <c r="F7" s="19">
        <v>0</v>
      </c>
      <c r="G7" s="15">
        <f t="shared" si="0"/>
        <v>0</v>
      </c>
      <c r="H7" s="11">
        <f>IF(D7&gt;0,D7+D6+D5+D4,0)</f>
        <v>58</v>
      </c>
      <c r="I7" s="11">
        <f>IF(D7&gt;0,D7+D6+D5,0)</f>
        <v>37</v>
      </c>
      <c r="J7" s="15">
        <f>IF(D7&gt;0,((B4-D7-D6-D5)*E7)*B14,0)</f>
        <v>520</v>
      </c>
      <c r="K7" s="6">
        <f t="shared" si="1"/>
        <v>4</v>
      </c>
      <c r="L7" s="6">
        <f>IF(K7=0,0,K7+K6+K5+K4)</f>
        <v>8</v>
      </c>
      <c r="M7" s="11">
        <f>IF(H7=0,0,M3+H7)</f>
        <v>63.5</v>
      </c>
      <c r="N7" s="11">
        <f t="shared" si="2"/>
        <v>254</v>
      </c>
      <c r="O7" s="11">
        <f>IF(H7=0,0,(N4+N5+N7+N6)/(E6+E7+E5+E4))</f>
        <v>51.25</v>
      </c>
      <c r="P7" s="5">
        <f>IF(H7=0,0,O7-M3)</f>
        <v>45.75</v>
      </c>
      <c r="Q7" s="5">
        <f t="shared" si="3"/>
        <v>51.25</v>
      </c>
      <c r="R7" s="41">
        <f t="shared" si="4"/>
        <v>0.21120689655172409</v>
      </c>
      <c r="S7" s="7"/>
      <c r="T7" s="7"/>
      <c r="U7" s="7"/>
      <c r="V7" s="7"/>
      <c r="W7" s="7"/>
      <c r="X7" s="7"/>
      <c r="Y7" s="7"/>
      <c r="Z7" s="7"/>
      <c r="AA7" s="7"/>
      <c r="AB7" s="7"/>
      <c r="AC7" s="7"/>
      <c r="AD7" s="7"/>
      <c r="AE7" s="7"/>
      <c r="AF7" s="7"/>
      <c r="AG7" s="7"/>
      <c r="AH7" s="7"/>
      <c r="AI7" s="7"/>
      <c r="AJ7" s="7"/>
      <c r="AK7" s="7"/>
    </row>
    <row r="8" spans="1:37" x14ac:dyDescent="0.25">
      <c r="B8" s="9">
        <f>SUM(J4:J14)</f>
        <v>2020</v>
      </c>
      <c r="C8" s="2" t="s">
        <v>27</v>
      </c>
      <c r="D8" s="19">
        <v>0</v>
      </c>
      <c r="E8" s="13">
        <v>0</v>
      </c>
      <c r="F8" s="19">
        <v>0</v>
      </c>
      <c r="G8" s="15">
        <f t="shared" si="0"/>
        <v>0</v>
      </c>
      <c r="H8" s="11">
        <f>IF(D8&gt;0,D8+D7+D6+D5+D4,0)</f>
        <v>0</v>
      </c>
      <c r="I8" s="11">
        <f>IF(D8&gt;0,D8+D7+D6+D5,0)</f>
        <v>0</v>
      </c>
      <c r="J8" s="15">
        <f>IF(D8&gt;0,((B4-D8-D7-D6-D5)*E8)*B14,0)</f>
        <v>0</v>
      </c>
      <c r="K8" s="6">
        <f t="shared" si="1"/>
        <v>0</v>
      </c>
      <c r="L8" s="6">
        <f>IF(K8=0,0,K8+K7+K6+K5+K4)</f>
        <v>0</v>
      </c>
      <c r="M8" s="11">
        <f>IF(H8=0,0,M3+H8)</f>
        <v>0</v>
      </c>
      <c r="N8" s="11">
        <f t="shared" si="2"/>
        <v>0</v>
      </c>
      <c r="O8" s="11">
        <f>IF(H8=0,0,(N4+N5+N6+N8+N7)/(E7+E8+E6+E5+E4))</f>
        <v>0</v>
      </c>
      <c r="P8" s="5">
        <f>IF(H8=0,0,O8-M3)</f>
        <v>0</v>
      </c>
      <c r="Q8" s="5">
        <f t="shared" si="3"/>
        <v>0</v>
      </c>
      <c r="R8" s="41">
        <f t="shared" si="4"/>
        <v>0</v>
      </c>
      <c r="S8" s="7"/>
      <c r="T8" s="7"/>
      <c r="U8" s="7"/>
      <c r="V8" s="7"/>
      <c r="W8" s="7"/>
      <c r="X8" s="7"/>
      <c r="Y8" s="7"/>
      <c r="Z8" s="7"/>
      <c r="AA8" s="7"/>
      <c r="AB8" s="7"/>
      <c r="AC8" s="7"/>
      <c r="AD8" s="7"/>
      <c r="AE8" s="7"/>
      <c r="AF8" s="7"/>
      <c r="AG8" s="7"/>
      <c r="AH8" s="7"/>
      <c r="AI8" s="7"/>
      <c r="AJ8" s="7"/>
      <c r="AK8" s="7"/>
    </row>
    <row r="9" spans="1:37" x14ac:dyDescent="0.25">
      <c r="B9" s="53" t="s">
        <v>8</v>
      </c>
      <c r="C9" s="2" t="s">
        <v>28</v>
      </c>
      <c r="D9" s="19">
        <v>0</v>
      </c>
      <c r="E9" s="13">
        <v>0</v>
      </c>
      <c r="F9" s="19">
        <v>0</v>
      </c>
      <c r="G9" s="15">
        <f t="shared" si="0"/>
        <v>0</v>
      </c>
      <c r="H9" s="11">
        <f>IF(D9&gt;0,D9+D8+D7+D6+D5+D4,0)</f>
        <v>0</v>
      </c>
      <c r="I9" s="11">
        <f>IF(D9&gt;0,SUM(D5:D9),0)</f>
        <v>0</v>
      </c>
      <c r="J9" s="15">
        <f>IF(D9&gt;0,((B4-D9-D8-D7-D6-D5)*E9)*B14,0)</f>
        <v>0</v>
      </c>
      <c r="K9" s="6">
        <f t="shared" si="1"/>
        <v>0</v>
      </c>
      <c r="L9" s="6">
        <f>IF(K9=0,0,K9+K8+K7+K6+K5+K4)</f>
        <v>0</v>
      </c>
      <c r="M9" s="11">
        <f>IF(H9=0,0,M3+H9)</f>
        <v>0</v>
      </c>
      <c r="N9" s="11">
        <f t="shared" si="2"/>
        <v>0</v>
      </c>
      <c r="O9" s="11">
        <f>IF(H9=0,0,(N4+N5+N6+N8+N7+N9)/(E7+E8+E6+E5+E4+E9))</f>
        <v>0</v>
      </c>
      <c r="P9" s="5">
        <f>IF(H9=0,0,O9-M3)</f>
        <v>0</v>
      </c>
      <c r="Q9" s="5">
        <f t="shared" si="3"/>
        <v>0</v>
      </c>
      <c r="R9" s="41">
        <f t="shared" si="4"/>
        <v>0</v>
      </c>
      <c r="S9" s="7"/>
      <c r="T9" s="7"/>
      <c r="U9" s="7"/>
      <c r="V9" s="7"/>
      <c r="W9" s="7"/>
      <c r="X9" s="7"/>
      <c r="Y9" s="7"/>
      <c r="Z9" s="7"/>
      <c r="AA9" s="7"/>
      <c r="AB9" s="7"/>
      <c r="AC9" s="7"/>
      <c r="AD9" s="7"/>
      <c r="AE9" s="7"/>
      <c r="AF9" s="7"/>
      <c r="AG9" s="7"/>
      <c r="AH9" s="7"/>
      <c r="AI9" s="7"/>
      <c r="AJ9" s="7"/>
      <c r="AK9" s="7"/>
    </row>
    <row r="10" spans="1:37" x14ac:dyDescent="0.25">
      <c r="B10" s="10">
        <v>25</v>
      </c>
      <c r="C10" s="2" t="s">
        <v>29</v>
      </c>
      <c r="D10" s="19">
        <v>0</v>
      </c>
      <c r="E10" s="13">
        <v>0</v>
      </c>
      <c r="F10" s="19">
        <v>0</v>
      </c>
      <c r="G10" s="15">
        <f t="shared" si="0"/>
        <v>0</v>
      </c>
      <c r="H10" s="11">
        <f>IF(D10&gt;0,D10+D9+D8+D7+D6+D5+D4,0)</f>
        <v>0</v>
      </c>
      <c r="I10" s="11">
        <f>IF(D10&gt;0,SUM(D5:D10),0)</f>
        <v>0</v>
      </c>
      <c r="J10" s="15">
        <f>IF(D10&gt;0,((B4-D10-D9-D8-D7-D6-D5)*E10)*B14,0)</f>
        <v>0</v>
      </c>
      <c r="K10" s="6">
        <f t="shared" si="1"/>
        <v>0</v>
      </c>
      <c r="L10" s="6">
        <f>IF(K10=0,0,K10+K9+K8+K7+K6+K5+K4)</f>
        <v>0</v>
      </c>
      <c r="M10" s="11">
        <f>IF(H10=0,0,M3+H10)</f>
        <v>0</v>
      </c>
      <c r="N10" s="11">
        <f t="shared" si="2"/>
        <v>0</v>
      </c>
      <c r="O10" s="11">
        <f>IF(H10=0,0,(N5+N6+N7+N9+N8+N10+N4)/(E8+E9+E7+E6+E5+E10+E4))</f>
        <v>0</v>
      </c>
      <c r="P10" s="5">
        <f>IF(H10=0,0,O10-$M3)</f>
        <v>0</v>
      </c>
      <c r="Q10" s="5">
        <f t="shared" si="3"/>
        <v>0</v>
      </c>
      <c r="R10" s="41">
        <f t="shared" si="4"/>
        <v>0</v>
      </c>
      <c r="S10" s="7"/>
      <c r="T10" s="7"/>
      <c r="U10" s="7"/>
      <c r="V10" s="7"/>
      <c r="W10" s="7"/>
      <c r="X10" s="7"/>
      <c r="Y10" s="7"/>
      <c r="Z10" s="7"/>
      <c r="AA10" s="7"/>
      <c r="AB10" s="7"/>
      <c r="AC10" s="7"/>
      <c r="AD10" s="7"/>
      <c r="AE10" s="7"/>
      <c r="AF10" s="7"/>
      <c r="AG10" s="7"/>
      <c r="AH10" s="7"/>
      <c r="AI10" s="7"/>
      <c r="AJ10" s="7"/>
      <c r="AK10" s="7"/>
    </row>
    <row r="11" spans="1:37" x14ac:dyDescent="0.25">
      <c r="B11" s="53" t="s">
        <v>6</v>
      </c>
      <c r="C11" s="2" t="s">
        <v>30</v>
      </c>
      <c r="D11" s="19">
        <v>0</v>
      </c>
      <c r="E11" s="13">
        <v>0</v>
      </c>
      <c r="F11" s="19">
        <v>0</v>
      </c>
      <c r="G11" s="15">
        <f t="shared" si="0"/>
        <v>0</v>
      </c>
      <c r="H11" s="11">
        <f>IF(D11&gt;0,D4+D11+D10+D9+D8+D7+D6+D5,0)</f>
        <v>0</v>
      </c>
      <c r="I11" s="11">
        <f>IF(D11&gt;0,SUM(D5:D11),0)</f>
        <v>0</v>
      </c>
      <c r="J11" s="15">
        <f>IF(D11&gt;0,((B4-D11-D5-D10-D9-D8-D7-D6)*E11)*B14,0)</f>
        <v>0</v>
      </c>
      <c r="K11" s="6">
        <f t="shared" si="1"/>
        <v>0</v>
      </c>
      <c r="L11" s="6">
        <f>IF(K11=0,0,K4+K11+K10+K9+K8+K7+K6+K5)</f>
        <v>0</v>
      </c>
      <c r="M11" s="11">
        <f>IF(H11=0,0,M4+H11)</f>
        <v>0</v>
      </c>
      <c r="N11" s="11">
        <f t="shared" si="2"/>
        <v>0</v>
      </c>
      <c r="O11" s="11">
        <f>IF(H11=0,0,(N6+N7+N8+N10+N9+N11+N5+N4)/(E9+E10+E8+E7+E6+E11+E5+E4))</f>
        <v>0</v>
      </c>
      <c r="P11" s="5">
        <f>IF(H11=0,0,O11-M3)</f>
        <v>0</v>
      </c>
      <c r="Q11" s="5">
        <f t="shared" si="3"/>
        <v>0</v>
      </c>
      <c r="R11" s="12">
        <f t="shared" si="4"/>
        <v>0</v>
      </c>
      <c r="S11" s="7"/>
      <c r="T11" s="7"/>
      <c r="U11" s="7"/>
      <c r="V11" s="7"/>
      <c r="W11" s="7"/>
      <c r="X11" s="7"/>
      <c r="Y11" s="7"/>
      <c r="Z11" s="7"/>
      <c r="AA11" s="7"/>
      <c r="AB11" s="7"/>
      <c r="AC11" s="7"/>
      <c r="AD11" s="7"/>
      <c r="AE11" s="7"/>
      <c r="AF11" s="7"/>
      <c r="AG11" s="7"/>
      <c r="AH11" s="7"/>
      <c r="AI11" s="7"/>
      <c r="AJ11" s="7"/>
      <c r="AK11" s="7"/>
    </row>
    <row r="12" spans="1:37" x14ac:dyDescent="0.25">
      <c r="B12" s="22">
        <f>MAX(L4:L10)*B10</f>
        <v>200</v>
      </c>
      <c r="C12" s="2" t="s">
        <v>31</v>
      </c>
      <c r="D12" s="19">
        <v>0</v>
      </c>
      <c r="E12" s="13">
        <v>0</v>
      </c>
      <c r="F12" s="19">
        <v>0</v>
      </c>
      <c r="G12" s="15">
        <f t="shared" si="0"/>
        <v>0</v>
      </c>
      <c r="H12" s="11">
        <f>IF(D12&gt;0,D4+D5+D12+D11+D10+D9+D8+D7+D6,0)</f>
        <v>0</v>
      </c>
      <c r="I12" s="11">
        <f>IF(D12&gt;0,SUM(D5:D12),0)</f>
        <v>0</v>
      </c>
      <c r="J12" s="15">
        <f>IF(D12&gt;0,((B4-D5-D12-D6-D11-D10-D9-D8-D7)*E12)*B14,0)</f>
        <v>0</v>
      </c>
      <c r="K12" s="6">
        <f t="shared" si="1"/>
        <v>0</v>
      </c>
      <c r="L12" s="6">
        <f>IF(K12=0,0,K4+K5+K12+K11+K10+K9+K8+K7+K6)</f>
        <v>0</v>
      </c>
      <c r="M12" s="11">
        <f>IF(H12=0,0,M5+H12)</f>
        <v>0</v>
      </c>
      <c r="N12" s="11">
        <f t="shared" si="2"/>
        <v>0</v>
      </c>
      <c r="O12" s="11">
        <f>IF(H12=0,0,(N7+N8+N9+N11+N10+N12+N6+N5+N4)/(E10+E11+E9+E8+E7+E12+E6+E5+E4))</f>
        <v>0</v>
      </c>
      <c r="P12" s="5">
        <f>IF(H12=0,0,O12-M3)</f>
        <v>0</v>
      </c>
      <c r="Q12" s="5">
        <f t="shared" si="3"/>
        <v>0</v>
      </c>
      <c r="R12" s="12">
        <f t="shared" si="4"/>
        <v>0</v>
      </c>
      <c r="S12" s="7"/>
      <c r="T12" s="7"/>
      <c r="U12" s="7"/>
      <c r="V12" s="7"/>
      <c r="W12" s="7"/>
      <c r="X12" s="7"/>
      <c r="Y12" s="7"/>
      <c r="Z12" s="7"/>
      <c r="AA12" s="7"/>
      <c r="AB12" s="7"/>
      <c r="AC12" s="7"/>
      <c r="AD12" s="7"/>
      <c r="AE12" s="7"/>
      <c r="AF12" s="7"/>
      <c r="AG12" s="7"/>
      <c r="AH12" s="7"/>
      <c r="AI12" s="7"/>
      <c r="AJ12" s="7"/>
      <c r="AK12" s="7"/>
    </row>
    <row r="13" spans="1:37" x14ac:dyDescent="0.25">
      <c r="B13" s="53" t="s">
        <v>19</v>
      </c>
      <c r="C13" s="2" t="s">
        <v>32</v>
      </c>
      <c r="D13" s="19">
        <v>0</v>
      </c>
      <c r="E13" s="13">
        <v>0</v>
      </c>
      <c r="F13" s="19">
        <v>0</v>
      </c>
      <c r="G13" s="15">
        <f t="shared" si="0"/>
        <v>0</v>
      </c>
      <c r="H13" s="11">
        <f>IF(D13&gt;0,D4+D5+D6+D13+D12+D11+D10+D9+D8+D7,0)</f>
        <v>0</v>
      </c>
      <c r="I13" s="11">
        <f>IF(D13&gt;0,SUM(D5:D13),0)</f>
        <v>0</v>
      </c>
      <c r="J13" s="15">
        <f>IF(D13&gt;0,((B4-D5-D6-D13-D7-D12-D11-D10-D9-D8)*E13)*B14,0)</f>
        <v>0</v>
      </c>
      <c r="K13" s="6">
        <f t="shared" si="1"/>
        <v>0</v>
      </c>
      <c r="L13" s="6">
        <f>IF(K13=0,0,K4+K5+K6+K13+K12+K11+K10+K9+K8+K7)</f>
        <v>0</v>
      </c>
      <c r="M13" s="11">
        <f>IF(H13=0,0,M6+H13)</f>
        <v>0</v>
      </c>
      <c r="N13" s="11">
        <f t="shared" si="2"/>
        <v>0</v>
      </c>
      <c r="O13" s="11">
        <f>IF(H13=0,0,(N8+N9+N10+N12+N11+N13+N7+N6+N5+N4)/(E11+E12+E10+E9+E8+E13+E7+E6+E5+E4))</f>
        <v>0</v>
      </c>
      <c r="P13" s="5">
        <f>IF(H13=0,0,O13-M3)</f>
        <v>0</v>
      </c>
      <c r="Q13" s="5">
        <f t="shared" si="3"/>
        <v>0</v>
      </c>
      <c r="R13" s="12">
        <f t="shared" si="4"/>
        <v>0</v>
      </c>
      <c r="S13" s="7"/>
      <c r="T13" s="7"/>
      <c r="U13" s="7"/>
      <c r="V13" s="7"/>
      <c r="W13" s="7"/>
      <c r="X13" s="7"/>
      <c r="Y13" s="7"/>
      <c r="Z13" s="7"/>
      <c r="AA13" s="7"/>
      <c r="AB13" s="7"/>
      <c r="AC13" s="7"/>
      <c r="AD13" s="7"/>
      <c r="AE13" s="7"/>
      <c r="AF13" s="7"/>
      <c r="AG13" s="7"/>
      <c r="AH13" s="7"/>
      <c r="AI13" s="7"/>
      <c r="AJ13" s="7"/>
      <c r="AK13" s="7"/>
    </row>
    <row r="14" spans="1:37" x14ac:dyDescent="0.25">
      <c r="B14" s="20">
        <v>10</v>
      </c>
      <c r="C14" s="2" t="s">
        <v>33</v>
      </c>
      <c r="D14" s="19">
        <v>0</v>
      </c>
      <c r="E14" s="13">
        <v>0</v>
      </c>
      <c r="F14" s="19">
        <v>0</v>
      </c>
      <c r="G14" s="15">
        <f t="shared" si="0"/>
        <v>0</v>
      </c>
      <c r="H14" s="11">
        <f>IF(D14&gt;0,D4+D5+D6+D7+D14+D13+D12+D11+D10+D9+D8,0)</f>
        <v>0</v>
      </c>
      <c r="I14" s="11">
        <f>IF(D14&gt;0,SUM(D5:D14),0)</f>
        <v>0</v>
      </c>
      <c r="J14" s="15">
        <f>IF(D14&gt;0,((B4-D5-D6-D7-D14-D8-D13-D12-D11-D10-D9)*E14)*B14,0)</f>
        <v>0</v>
      </c>
      <c r="K14" s="6">
        <f t="shared" si="1"/>
        <v>0</v>
      </c>
      <c r="L14" s="6">
        <f>IF(K14=0,0,K4+K5+K6+K7+K14+K13+K12+K11+K10+K9+K8)</f>
        <v>0</v>
      </c>
      <c r="M14" s="11">
        <f>IF(H14=0,0,M7+H14)</f>
        <v>0</v>
      </c>
      <c r="N14" s="11">
        <f t="shared" si="2"/>
        <v>0</v>
      </c>
      <c r="O14" s="11">
        <f>IF(H14=0,0,(N9+N10+N11+N13+N12+N14+N8+N7+N6+N5+N4)/(E12+E13+E11+E10+E9+E14+E8+E7+E6+E5+E4))</f>
        <v>0</v>
      </c>
      <c r="P14" s="5">
        <f>IF(H14=0,0,O14-M3)</f>
        <v>0</v>
      </c>
      <c r="Q14" s="5">
        <f t="shared" si="3"/>
        <v>0</v>
      </c>
      <c r="R14" s="12">
        <f t="shared" si="4"/>
        <v>0</v>
      </c>
      <c r="S14" s="7"/>
      <c r="T14" s="7"/>
      <c r="U14" s="7"/>
      <c r="V14" s="7"/>
      <c r="W14" s="7"/>
      <c r="X14" s="7"/>
      <c r="Y14" s="7"/>
      <c r="Z14" s="7"/>
      <c r="AA14" s="7"/>
      <c r="AB14" s="7"/>
      <c r="AC14" s="7"/>
      <c r="AD14" s="7"/>
      <c r="AE14" s="7"/>
      <c r="AF14" s="7"/>
      <c r="AG14" s="7"/>
      <c r="AH14" s="7"/>
      <c r="AI14" s="7"/>
      <c r="AJ14" s="7"/>
      <c r="AK14" s="7"/>
    </row>
    <row r="15" spans="1:37" x14ac:dyDescent="0.25">
      <c r="B15" s="7"/>
      <c r="C15" s="7"/>
      <c r="D15" s="23"/>
      <c r="E15" s="7"/>
      <c r="F15" s="7"/>
      <c r="G15" s="7"/>
      <c r="H15" s="7"/>
      <c r="I15" s="7"/>
      <c r="J15" s="4" t="s">
        <v>3</v>
      </c>
      <c r="K15" s="6">
        <f>SUM(K4:K14)</f>
        <v>8</v>
      </c>
      <c r="L15" s="7"/>
      <c r="M15" s="7"/>
      <c r="N15" s="7"/>
      <c r="O15" s="7"/>
      <c r="P15" s="7"/>
      <c r="Q15" s="7"/>
      <c r="R15" s="7"/>
      <c r="S15" s="7"/>
      <c r="T15" s="7"/>
      <c r="U15" s="7"/>
      <c r="V15" s="7"/>
      <c r="W15" s="7"/>
      <c r="X15" s="7"/>
      <c r="Y15" s="7"/>
      <c r="Z15" s="7"/>
      <c r="AA15" s="7"/>
      <c r="AB15" s="7"/>
      <c r="AC15" s="7"/>
      <c r="AD15" s="7"/>
      <c r="AE15" s="7"/>
      <c r="AF15" s="7"/>
      <c r="AG15" s="7"/>
      <c r="AH15" s="7"/>
      <c r="AI15" s="7"/>
      <c r="AJ15" s="7"/>
      <c r="AK15" s="7"/>
    </row>
    <row r="16" spans="1:37" x14ac:dyDescent="0.25">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spans="2:37" x14ac:dyDescent="0.25">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2:37" x14ac:dyDescent="0.2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2:37" x14ac:dyDescent="0.25">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2:37" x14ac:dyDescent="0.2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2:37" x14ac:dyDescent="0.25">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2:37" x14ac:dyDescent="0.25">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row r="23" spans="2:37" x14ac:dyDescent="0.2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2:37" x14ac:dyDescent="0.2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2:37" x14ac:dyDescent="0.2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2:37" x14ac:dyDescent="0.25">
      <c r="B26" s="7"/>
      <c r="C26" s="7"/>
      <c r="D26" s="7"/>
      <c r="E26" s="7"/>
      <c r="F26" s="7"/>
      <c r="G26" s="7"/>
      <c r="H26" s="7"/>
      <c r="I26" s="7"/>
      <c r="J26" s="7"/>
      <c r="K26" s="7"/>
      <c r="L26" s="7"/>
      <c r="M26" s="7"/>
      <c r="N26" s="23"/>
      <c r="O26" s="7"/>
      <c r="P26" s="7"/>
      <c r="Q26" s="7"/>
      <c r="R26" s="7"/>
      <c r="S26" s="7"/>
      <c r="T26" s="7"/>
      <c r="U26" s="7"/>
      <c r="V26" s="7"/>
      <c r="W26" s="7"/>
      <c r="X26" s="7"/>
      <c r="Y26" s="7"/>
      <c r="Z26" s="7"/>
      <c r="AA26" s="7"/>
      <c r="AB26" s="7"/>
      <c r="AC26" s="7"/>
      <c r="AD26" s="7"/>
      <c r="AE26" s="7"/>
      <c r="AF26" s="7"/>
      <c r="AG26" s="7"/>
      <c r="AH26" s="7"/>
      <c r="AI26" s="7"/>
      <c r="AJ26" s="7"/>
      <c r="AK26" s="7"/>
    </row>
    <row r="27" spans="2:37" x14ac:dyDescent="0.2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row>
    <row r="28" spans="2:37" x14ac:dyDescent="0.2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row>
    <row r="29" spans="2:37" x14ac:dyDescent="0.2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row>
    <row r="30" spans="2:37" x14ac:dyDescent="0.25">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row>
    <row r="31" spans="2:37" x14ac:dyDescent="0.25">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row>
    <row r="32" spans="2:37" x14ac:dyDescent="0.25">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row>
    <row r="33" spans="2:37" x14ac:dyDescent="0.25">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row>
    <row r="34" spans="2:37" x14ac:dyDescent="0.25">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row>
    <row r="35" spans="2:37" s="7" customFormat="1" x14ac:dyDescent="0.25"/>
    <row r="36" spans="2:37" s="7" customFormat="1" x14ac:dyDescent="0.25"/>
    <row r="37" spans="2:37" s="7" customFormat="1" x14ac:dyDescent="0.25"/>
    <row r="38" spans="2:37" s="7" customFormat="1" x14ac:dyDescent="0.25"/>
    <row r="39" spans="2:37" s="7" customFormat="1" x14ac:dyDescent="0.25"/>
    <row r="40" spans="2:37" s="7" customFormat="1" x14ac:dyDescent="0.25"/>
    <row r="41" spans="2:37" s="7" customFormat="1" x14ac:dyDescent="0.25"/>
    <row r="42" spans="2:37" s="7" customFormat="1" x14ac:dyDescent="0.25"/>
    <row r="43" spans="2:37" s="7" customFormat="1" x14ac:dyDescent="0.25"/>
    <row r="44" spans="2:37" s="7" customFormat="1" x14ac:dyDescent="0.25"/>
    <row r="45" spans="2:37" s="7" customFormat="1" x14ac:dyDescent="0.25"/>
    <row r="46" spans="2:37" s="7" customFormat="1" x14ac:dyDescent="0.25"/>
    <row r="47" spans="2:37" s="7" customFormat="1" x14ac:dyDescent="0.25"/>
    <row r="48" spans="2:37"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sheetData>
  <mergeCells count="1">
    <mergeCell ref="B2:R2"/>
  </mergeCells>
  <conditionalFormatting sqref="K4:K14">
    <cfRule type="cellIs" dxfId="17" priority="16" operator="equal">
      <formula>0</formula>
    </cfRule>
  </conditionalFormatting>
  <conditionalFormatting sqref="L4:L14">
    <cfRule type="cellIs" dxfId="16" priority="15" operator="equal">
      <formula>0</formula>
    </cfRule>
  </conditionalFormatting>
  <conditionalFormatting sqref="R5:R14">
    <cfRule type="cellIs" dxfId="15" priority="14" operator="equal">
      <formula>0</formula>
    </cfRule>
  </conditionalFormatting>
  <conditionalFormatting sqref="H4 H5:I14 D4:E14">
    <cfRule type="cellIs" dxfId="14" priority="17" operator="equal">
      <formula>0</formula>
    </cfRule>
    <cfRule type="cellIs" dxfId="13" priority="18" operator="greaterThan">
      <formula>#REF!</formula>
    </cfRule>
  </conditionalFormatting>
  <conditionalFormatting sqref="M4:M14">
    <cfRule type="cellIs" dxfId="12" priority="13" operator="equal">
      <formula>0</formula>
    </cfRule>
  </conditionalFormatting>
  <conditionalFormatting sqref="N4:N14">
    <cfRule type="cellIs" dxfId="11" priority="12" operator="equal">
      <formula>0</formula>
    </cfRule>
  </conditionalFormatting>
  <conditionalFormatting sqref="O4:O14">
    <cfRule type="cellIs" dxfId="10" priority="11" operator="equal">
      <formula>0</formula>
    </cfRule>
  </conditionalFormatting>
  <conditionalFormatting sqref="P4:Q14">
    <cfRule type="cellIs" dxfId="9" priority="10" operator="equal">
      <formula>0</formula>
    </cfRule>
  </conditionalFormatting>
  <conditionalFormatting sqref="J4:J14">
    <cfRule type="cellIs" dxfId="8" priority="8" operator="equal">
      <formula>0</formula>
    </cfRule>
    <cfRule type="cellIs" dxfId="7" priority="9" operator="greaterThan">
      <formula>#REF!</formula>
    </cfRule>
  </conditionalFormatting>
  <conditionalFormatting sqref="B6">
    <cfRule type="cellIs" dxfId="6" priority="6" operator="equal">
      <formula>0</formula>
    </cfRule>
    <cfRule type="cellIs" dxfId="5" priority="7" operator="greaterThan">
      <formula>#REF!</formula>
    </cfRule>
  </conditionalFormatting>
  <conditionalFormatting sqref="F4:F14">
    <cfRule type="cellIs" dxfId="4" priority="4" operator="equal">
      <formula>0</formula>
    </cfRule>
    <cfRule type="cellIs" dxfId="3" priority="5" operator="greaterThan">
      <formula>#REF!</formula>
    </cfRule>
  </conditionalFormatting>
  <conditionalFormatting sqref="G4:G14">
    <cfRule type="cellIs" dxfId="2" priority="2" operator="equal">
      <formula>0</formula>
    </cfRule>
    <cfRule type="cellIs" dxfId="1" priority="3" operator="greaterThan">
      <formula>#REF!</formula>
    </cfRule>
  </conditionalFormatting>
  <conditionalFormatting sqref="M3">
    <cfRule type="cellIs" dxfId="0" priority="1" operator="equal">
      <formula>0</formula>
    </cfRule>
  </conditionalFormatting>
  <hyperlinks>
    <hyperlink ref="A5" r:id="rId1" xr:uid="{473D7316-DDF5-4225-A4BA-214DA84F3235}"/>
  </hyperlinks>
  <pageMargins left="0.511811024" right="0.511811024" top="0.78740157499999996" bottom="0.78740157499999996" header="0.31496062000000002" footer="0.31496062000000002"/>
  <pageSetup orientation="portrait" r:id="rId2"/>
  <ignoredErrors>
    <ignoredError sqref="I9:I14" formulaRange="1"/>
  </ignoredError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D958E-8EFC-45BE-B59B-47BB9B215117}">
  <sheetPr>
    <tabColor rgb="FF00B050"/>
  </sheetPr>
  <dimension ref="A1:BG154"/>
  <sheetViews>
    <sheetView tabSelected="1" zoomScale="120" zoomScaleNormal="120" workbookViewId="0">
      <selection activeCell="S107" sqref="S107"/>
    </sheetView>
  </sheetViews>
  <sheetFormatPr defaultRowHeight="15" x14ac:dyDescent="0.25"/>
  <cols>
    <col min="1" max="1" width="18" style="7" customWidth="1"/>
    <col min="2" max="2" width="6.28515625" style="7" customWidth="1"/>
    <col min="3" max="3" width="12.7109375" bestFit="1" customWidth="1"/>
    <col min="4" max="4" width="8" bestFit="1" customWidth="1"/>
    <col min="5" max="5" width="9.5703125" bestFit="1" customWidth="1"/>
    <col min="6" max="6" width="12.7109375" bestFit="1" customWidth="1"/>
    <col min="7" max="7" width="11.140625" bestFit="1" customWidth="1"/>
    <col min="8" max="8" width="12.7109375" customWidth="1"/>
    <col min="9" max="9" width="12.7109375" bestFit="1" customWidth="1"/>
    <col min="10" max="10" width="12.7109375" customWidth="1"/>
    <col min="11" max="11" width="12.7109375" bestFit="1" customWidth="1"/>
    <col min="12" max="13" width="13.85546875" bestFit="1" customWidth="1"/>
    <col min="14" max="15" width="12.7109375" bestFit="1" customWidth="1"/>
    <col min="16" max="16" width="5.42578125" bestFit="1" customWidth="1"/>
    <col min="17" max="18" width="5.42578125" style="38" bestFit="1" customWidth="1"/>
    <col min="19" max="19" width="5.42578125" style="38" customWidth="1"/>
    <col min="20" max="21" width="5.42578125" style="38" bestFit="1" customWidth="1"/>
    <col min="22" max="22" width="5.42578125" style="7" bestFit="1" customWidth="1"/>
    <col min="23" max="25" width="5.140625" style="7" bestFit="1" customWidth="1"/>
    <col min="26" max="26" width="5.42578125" style="7" bestFit="1" customWidth="1"/>
    <col min="27" max="28" width="5" style="7" bestFit="1" customWidth="1"/>
    <col min="29" max="59" width="9.140625" style="7"/>
  </cols>
  <sheetData>
    <row r="1" spans="2:23" ht="15" customHeight="1" x14ac:dyDescent="0.25">
      <c r="C1" s="7"/>
      <c r="D1" s="7"/>
      <c r="E1" s="7"/>
      <c r="F1" s="7"/>
      <c r="G1" s="7"/>
      <c r="H1" s="7"/>
      <c r="I1" s="93" t="s">
        <v>60</v>
      </c>
      <c r="J1" s="93"/>
      <c r="K1" s="93"/>
      <c r="L1" s="93"/>
      <c r="M1" s="93"/>
      <c r="N1" s="93"/>
      <c r="O1" s="93"/>
      <c r="P1" s="7"/>
    </row>
    <row r="2" spans="2:23" ht="15" customHeight="1" x14ac:dyDescent="0.25">
      <c r="C2" s="96" t="s">
        <v>48</v>
      </c>
      <c r="D2" s="94" t="s">
        <v>63</v>
      </c>
      <c r="E2" s="94"/>
      <c r="F2" s="25">
        <v>2000</v>
      </c>
      <c r="G2" s="3" t="s">
        <v>22</v>
      </c>
      <c r="H2" s="47">
        <f>ROUND((F2*F3),-1)</f>
        <v>1500</v>
      </c>
      <c r="I2" s="93"/>
      <c r="J2" s="93"/>
      <c r="K2" s="93"/>
      <c r="L2" s="93"/>
      <c r="M2" s="93"/>
      <c r="N2" s="93"/>
      <c r="O2" s="93"/>
      <c r="P2" s="44"/>
    </row>
    <row r="3" spans="2:23" x14ac:dyDescent="0.25">
      <c r="C3" s="96"/>
      <c r="D3" s="95" t="s">
        <v>47</v>
      </c>
      <c r="E3" s="95"/>
      <c r="F3" s="34">
        <v>0.75</v>
      </c>
      <c r="G3" s="3" t="s">
        <v>23</v>
      </c>
      <c r="H3" s="25">
        <v>1</v>
      </c>
      <c r="I3" s="93"/>
      <c r="J3" s="93"/>
      <c r="K3" s="93"/>
      <c r="L3" s="93"/>
      <c r="M3" s="93"/>
      <c r="N3" s="93"/>
      <c r="O3" s="93"/>
      <c r="P3" s="44"/>
      <c r="S3" s="39"/>
      <c r="T3" s="39"/>
      <c r="V3" s="37"/>
    </row>
    <row r="4" spans="2:23" ht="15.75" x14ac:dyDescent="0.25">
      <c r="C4" s="7"/>
      <c r="D4" s="95" t="s">
        <v>91</v>
      </c>
      <c r="E4" s="95"/>
      <c r="F4" s="75">
        <v>0.2</v>
      </c>
      <c r="G4" s="57" t="s">
        <v>90</v>
      </c>
      <c r="H4" s="77">
        <v>5</v>
      </c>
      <c r="I4" s="93"/>
      <c r="J4" s="93"/>
      <c r="K4" s="93"/>
      <c r="L4" s="93"/>
      <c r="M4" s="93"/>
      <c r="N4" s="93"/>
      <c r="O4" s="93"/>
      <c r="P4" s="44"/>
      <c r="S4" s="39"/>
      <c r="T4" s="40"/>
    </row>
    <row r="5" spans="2:23" x14ac:dyDescent="0.25">
      <c r="C5" s="7"/>
      <c r="D5" s="90" t="s">
        <v>46</v>
      </c>
      <c r="E5" s="91"/>
      <c r="F5" s="92"/>
      <c r="G5" s="7"/>
      <c r="H5" s="7"/>
      <c r="I5" s="7"/>
      <c r="J5" s="7"/>
      <c r="K5" s="7"/>
      <c r="L5" s="7"/>
      <c r="M5" s="7"/>
      <c r="N5" s="7"/>
      <c r="O5" s="7"/>
      <c r="P5" s="55"/>
      <c r="S5" s="39"/>
      <c r="T5" s="40"/>
    </row>
    <row r="6" spans="2:23" x14ac:dyDescent="0.25">
      <c r="C6" s="7"/>
      <c r="D6" s="3" t="s">
        <v>34</v>
      </c>
      <c r="E6" s="3" t="s">
        <v>45</v>
      </c>
      <c r="F6" s="57" t="s">
        <v>35</v>
      </c>
      <c r="G6" s="57" t="s">
        <v>36</v>
      </c>
      <c r="H6" s="57" t="s">
        <v>37</v>
      </c>
      <c r="I6" s="57" t="s">
        <v>38</v>
      </c>
      <c r="J6" s="57" t="s">
        <v>39</v>
      </c>
      <c r="K6" s="57" t="s">
        <v>40</v>
      </c>
      <c r="L6" s="3" t="s">
        <v>41</v>
      </c>
      <c r="M6" s="7"/>
      <c r="N6" s="7"/>
      <c r="O6" s="7"/>
      <c r="P6" s="59">
        <v>0</v>
      </c>
    </row>
    <row r="7" spans="2:23" ht="15" customHeight="1" x14ac:dyDescent="0.25">
      <c r="B7" s="88">
        <v>1</v>
      </c>
      <c r="C7" s="26" t="s">
        <v>24</v>
      </c>
      <c r="D7" s="27">
        <f>$H$3</f>
        <v>1</v>
      </c>
      <c r="E7" s="27">
        <f>$H$3+D7</f>
        <v>2</v>
      </c>
      <c r="F7" s="31">
        <f>MROUND(($H$2*0.4),H4)</f>
        <v>600</v>
      </c>
      <c r="G7" s="31">
        <f>MROUND(($H$2*0.2),H4)</f>
        <v>300</v>
      </c>
      <c r="H7" s="31">
        <f>MROUND(($H$2*0.13),H4)</f>
        <v>195</v>
      </c>
      <c r="I7" s="31">
        <f>MROUND(($H$2*0.1),H4)</f>
        <v>150</v>
      </c>
      <c r="J7" s="31">
        <f>MROUND(($H$2*0.075),H4)</f>
        <v>115</v>
      </c>
      <c r="K7" s="31">
        <f>MROUND(($H$2*0.07),H4)</f>
        <v>105</v>
      </c>
      <c r="L7" s="31">
        <f>MROUND(($H$2*0.06),H4)</f>
        <v>90</v>
      </c>
      <c r="M7" s="7"/>
      <c r="N7" s="7"/>
      <c r="O7" s="7"/>
      <c r="P7" s="60">
        <f>L7</f>
        <v>90</v>
      </c>
    </row>
    <row r="8" spans="2:23" ht="15" customHeight="1" x14ac:dyDescent="0.25">
      <c r="B8" s="88"/>
      <c r="C8" s="26" t="s">
        <v>25</v>
      </c>
      <c r="D8" s="27">
        <f>D7*2</f>
        <v>2</v>
      </c>
      <c r="E8" s="27">
        <f>$H$3+D7+D8</f>
        <v>4</v>
      </c>
      <c r="F8" s="32"/>
      <c r="G8" s="33">
        <f>MROUND(($H$2*0.6),H4)-G7</f>
        <v>600</v>
      </c>
      <c r="H8" s="33">
        <f>MROUND(($H$2*0.4),H4)-H7</f>
        <v>405</v>
      </c>
      <c r="I8" s="33">
        <f>MROUND(($H$2*0.265),H4)-I7</f>
        <v>250</v>
      </c>
      <c r="J8" s="33">
        <f>MROUND(($H$2*0.23),H4)-J7</f>
        <v>230</v>
      </c>
      <c r="K8" s="33">
        <f>MROUND(($H$2*0.17),H4)-K7</f>
        <v>150</v>
      </c>
      <c r="L8" s="33">
        <f>MROUND(($H$2*0.15),H4)-L7</f>
        <v>135</v>
      </c>
      <c r="M8" s="7"/>
      <c r="N8" s="7"/>
      <c r="O8" s="7"/>
      <c r="P8" s="60">
        <f>P7+L8</f>
        <v>225</v>
      </c>
    </row>
    <row r="9" spans="2:23" ht="15" customHeight="1" x14ac:dyDescent="0.25">
      <c r="B9" s="88"/>
      <c r="C9" s="26" t="s">
        <v>26</v>
      </c>
      <c r="D9" s="27">
        <f>D8*2</f>
        <v>4</v>
      </c>
      <c r="E9" s="27">
        <f>$H$3+D8+D9+D7</f>
        <v>8</v>
      </c>
      <c r="F9" s="30"/>
      <c r="G9" s="30"/>
      <c r="H9" s="31">
        <f>MROUND(($H$2*0.74),H4)-(H7+H8)</f>
        <v>510</v>
      </c>
      <c r="I9" s="31">
        <f>MROUND(($H$2*0.5),H4)-(I7+I8)</f>
        <v>350</v>
      </c>
      <c r="J9" s="31">
        <f>MROUND(($H$2*0.4),H4)-(J7+J8)</f>
        <v>255</v>
      </c>
      <c r="K9" s="31">
        <f>MROUND(($H$2*0.33),H4)-(K7+K8)</f>
        <v>240</v>
      </c>
      <c r="L9" s="31">
        <f>MROUND(($H$2*0.26),H4)-(L7+L8)</f>
        <v>165</v>
      </c>
      <c r="M9" s="7"/>
      <c r="N9" s="7"/>
      <c r="O9" s="7"/>
      <c r="P9" s="60">
        <f>P8+L9</f>
        <v>390</v>
      </c>
    </row>
    <row r="10" spans="2:23" ht="15" customHeight="1" x14ac:dyDescent="0.25">
      <c r="B10" s="88"/>
      <c r="C10" s="26" t="s">
        <v>27</v>
      </c>
      <c r="D10" s="27">
        <f>D9*2</f>
        <v>8</v>
      </c>
      <c r="E10" s="27">
        <f>$H$3+D9+D10+D8+D7</f>
        <v>16</v>
      </c>
      <c r="F10" s="32"/>
      <c r="G10" s="32"/>
      <c r="H10" s="32"/>
      <c r="I10" s="33">
        <f>MROUND(($H$2*0.8),H4)-(I7+I8+I9)</f>
        <v>450</v>
      </c>
      <c r="J10" s="33">
        <f>MROUND(($H$2*0.63),H4)-(J7+J8+J9)</f>
        <v>345</v>
      </c>
      <c r="K10" s="33">
        <f>MROUND(($H$2*0.5),H4)-(K7+K8+K9)</f>
        <v>255</v>
      </c>
      <c r="L10" s="33">
        <f>MROUND(($H$2*0.4),H4)-(L7+L8+L9)</f>
        <v>210</v>
      </c>
      <c r="M10" s="7"/>
      <c r="N10" s="7"/>
      <c r="O10" s="7"/>
      <c r="P10" s="60">
        <f>P9+L10</f>
        <v>600</v>
      </c>
    </row>
    <row r="11" spans="2:23" ht="15" customHeight="1" x14ac:dyDescent="0.25">
      <c r="B11" s="88"/>
      <c r="C11" s="26" t="s">
        <v>28</v>
      </c>
      <c r="D11" s="27">
        <f t="shared" ref="D11:D13" si="0">D10*2</f>
        <v>16</v>
      </c>
      <c r="E11" s="27">
        <f>$H$3+D10+D11+D9+D8+D7</f>
        <v>32</v>
      </c>
      <c r="F11" s="30"/>
      <c r="G11" s="30"/>
      <c r="H11" s="31"/>
      <c r="I11" s="31"/>
      <c r="J11" s="31">
        <f>MROUND(($H$2*0.84),H4)-(J7+J8+J9+J10)</f>
        <v>315</v>
      </c>
      <c r="K11" s="31">
        <f>MROUND(($H$2*0.69),H4)-(K7+K8+K9+K10)</f>
        <v>285</v>
      </c>
      <c r="L11" s="31">
        <f>MROUND(($H$2*0.55),H4)-(L7+L8+L9+L10)</f>
        <v>225</v>
      </c>
      <c r="M11" s="7"/>
      <c r="N11" s="7"/>
      <c r="O11" s="7"/>
      <c r="P11" s="60">
        <f>P10+L11</f>
        <v>825</v>
      </c>
    </row>
    <row r="12" spans="2:23" ht="15" customHeight="1" x14ac:dyDescent="0.25">
      <c r="B12" s="88"/>
      <c r="C12" s="26" t="s">
        <v>29</v>
      </c>
      <c r="D12" s="27">
        <f t="shared" si="0"/>
        <v>32</v>
      </c>
      <c r="E12" s="27">
        <f>$H$3+D11+D12+D10+D9+D8+D7</f>
        <v>64</v>
      </c>
      <c r="F12" s="32"/>
      <c r="G12" s="32"/>
      <c r="H12" s="32"/>
      <c r="I12" s="32"/>
      <c r="J12" s="32"/>
      <c r="K12" s="33">
        <f>MROUND(($H$2*0.86),H4)-(K7+K8+K9+K10+K11)</f>
        <v>255</v>
      </c>
      <c r="L12" s="33">
        <f>MROUND(($H$2*0.7),H4)-(L7+L8+L9+L10+L11)</f>
        <v>225</v>
      </c>
      <c r="M12" s="7"/>
      <c r="N12" s="7"/>
      <c r="O12" s="7"/>
      <c r="P12" s="60">
        <f t="shared" ref="P12" si="1">P11+L12</f>
        <v>1050</v>
      </c>
    </row>
    <row r="13" spans="2:23" ht="15" customHeight="1" x14ac:dyDescent="0.25">
      <c r="B13" s="88"/>
      <c r="C13" s="26" t="s">
        <v>30</v>
      </c>
      <c r="D13" s="27">
        <f t="shared" si="0"/>
        <v>64</v>
      </c>
      <c r="E13" s="27">
        <f>$H$3+D12+D13+D11+D10+D9+D8+D7</f>
        <v>128</v>
      </c>
      <c r="F13" s="30"/>
      <c r="G13" s="30"/>
      <c r="H13" s="30"/>
      <c r="I13" s="30"/>
      <c r="J13" s="30"/>
      <c r="K13" s="30"/>
      <c r="L13" s="31">
        <f>MROUND(($H$2*0.85),H4)-(L8+L9+L10+L11+L12+L7)</f>
        <v>225</v>
      </c>
      <c r="M13" s="7"/>
      <c r="N13" s="7"/>
      <c r="O13" s="7"/>
      <c r="P13" s="60">
        <f>P12+L13</f>
        <v>1275</v>
      </c>
    </row>
    <row r="14" spans="2:23" x14ac:dyDescent="0.25">
      <c r="C14" s="7"/>
      <c r="D14" s="7"/>
      <c r="E14" s="29" t="s">
        <v>22</v>
      </c>
      <c r="F14" s="28">
        <f>(($H$2*D7)*$H$3*$F$4)+(($H$2-F7)*D7*$F$4)</f>
        <v>480</v>
      </c>
      <c r="G14" s="28">
        <f>(($H$2*$H$3)*D7*$F$4)+(($H$2-G7)*D7*$F$4)+(($H$2-(G7+G8))*D8*$F$4)</f>
        <v>780</v>
      </c>
      <c r="H14" s="28">
        <f>(($H$2*$H$3)*D7*$F$4)+(($H$2-H7)*D7*$F$4)+(($H$2-(H7+H8))*D8*$F$4)+(($H$2-(H7+H8+H9))*D9*$F$4)</f>
        <v>1233</v>
      </c>
      <c r="I14" s="28">
        <f>(($H$2*$H$3)*D7*$F$4)+(($H$2-I7)*D7*$F$4)+(($H$2-(I7+I8))*D8*$F$4)+(($H$2-(I7+I8+I9))*D9*$F$4)+(($H$2-(I7+I8+I9+I10))*D10*$F$4)</f>
        <v>2090</v>
      </c>
      <c r="J14" s="28">
        <f>(($H$2*$H$3)*D7*$F$4)+(($H$2-J7)*D7*$F$4)+(($H$2-(J7+J8))*D8*$F$4)+(($H$2-(J7+J8+J9))*D9*$F$4)+(($H$2-(J7+J8+J9+J10))*D10*$F$4)+(($H$2-(J7+J8+J9+J10+J11))*D11*$F$4)</f>
        <v>3415</v>
      </c>
      <c r="K14" s="28">
        <f>(($H$2*$H$3)*D7*$F$4)+(($H$2-K7)*D7*$F$4)+(($H$2-(K7+K8))*D8*$F$4)+(($H$2-(K7+K8+K9))*D9*$F$4)+(($H$2-(K7+K8+K9+K10))*D10*$F$4)+(($H$2-(K7+K8+K9+K10+K11))*D11*$F$4)+(($H$2-(K7+K8+K9+K10+K11+K12))*D12*$F$4)</f>
        <v>5913</v>
      </c>
      <c r="L14" s="28">
        <f>(($H$2*$H$3)*D7*$F$4)+(($H$2-L7)*D7*$F$4)+(($H$2-(L7+L8))*D8*$F$4)+(($H$2-(L7+L8+L9))*D9*$F$4)+(($H$2-(L7+L8+L9+L10))*D10*$F$4)+(($H$2-(L7+L8+L9+L10+L11))*D11*$F$4)+(($H$2-(L7+L8+L9+L10+L11+L12))*D12*$F$4)+(($H$2-(L7+L8+L9+L10+L11+L12+L13))*D13*$F$4)</f>
        <v>11340</v>
      </c>
      <c r="M14" s="7"/>
      <c r="N14" s="7"/>
      <c r="O14" s="7"/>
      <c r="P14" s="59">
        <f>H2</f>
        <v>1500</v>
      </c>
      <c r="S14" s="39"/>
      <c r="T14" s="56"/>
      <c r="U14" s="56"/>
      <c r="V14" s="23"/>
      <c r="W14" s="56"/>
    </row>
    <row r="15" spans="2:23" x14ac:dyDescent="0.25">
      <c r="C15" s="7"/>
      <c r="D15" s="7"/>
      <c r="E15" s="7"/>
      <c r="F15" s="7"/>
      <c r="G15" s="7"/>
      <c r="H15" s="7"/>
      <c r="I15" s="7"/>
      <c r="J15" s="7"/>
      <c r="K15" s="7"/>
      <c r="L15" s="7"/>
      <c r="M15" s="7"/>
      <c r="N15" s="7"/>
      <c r="O15" s="7"/>
      <c r="P15" s="44"/>
      <c r="Q15" s="7"/>
      <c r="R15" s="7"/>
      <c r="S15" s="7"/>
      <c r="T15" s="56"/>
      <c r="U15" s="7"/>
    </row>
    <row r="16" spans="2:23" x14ac:dyDescent="0.25">
      <c r="C16" s="7"/>
      <c r="D16" s="90" t="s">
        <v>50</v>
      </c>
      <c r="E16" s="91"/>
      <c r="F16" s="92"/>
      <c r="G16" s="7"/>
      <c r="H16" s="7"/>
      <c r="I16" s="7"/>
      <c r="J16" s="7"/>
      <c r="K16" s="7"/>
      <c r="L16" s="7"/>
      <c r="M16" s="7"/>
      <c r="N16" s="7"/>
      <c r="O16" s="7"/>
      <c r="P16" s="44"/>
      <c r="S16" s="39"/>
      <c r="T16" s="56"/>
    </row>
    <row r="17" spans="2:21" x14ac:dyDescent="0.25">
      <c r="C17" s="7"/>
      <c r="D17" s="3" t="s">
        <v>34</v>
      </c>
      <c r="E17" s="3" t="s">
        <v>45</v>
      </c>
      <c r="F17" s="3" t="s">
        <v>35</v>
      </c>
      <c r="G17" s="3" t="s">
        <v>36</v>
      </c>
      <c r="H17" s="3" t="s">
        <v>37</v>
      </c>
      <c r="I17" s="3" t="s">
        <v>38</v>
      </c>
      <c r="J17" s="3" t="s">
        <v>39</v>
      </c>
      <c r="K17" s="3" t="s">
        <v>40</v>
      </c>
      <c r="L17" s="3" t="s">
        <v>41</v>
      </c>
      <c r="M17" s="7"/>
      <c r="N17" s="7"/>
      <c r="O17" s="7"/>
      <c r="P17" s="44">
        <v>0</v>
      </c>
      <c r="Q17" s="7"/>
      <c r="R17" s="7"/>
      <c r="S17" s="7"/>
      <c r="T17" s="56"/>
      <c r="U17" s="7"/>
    </row>
    <row r="18" spans="2:21" ht="15" customHeight="1" x14ac:dyDescent="0.25">
      <c r="B18" s="88">
        <v>2</v>
      </c>
      <c r="C18" s="26" t="s">
        <v>24</v>
      </c>
      <c r="D18" s="27">
        <f>H3</f>
        <v>1</v>
      </c>
      <c r="E18" s="27">
        <f>$H$3+D18</f>
        <v>2</v>
      </c>
      <c r="F18" s="31">
        <f>MROUND(($H$2*0.3),H4)</f>
        <v>450</v>
      </c>
      <c r="G18" s="31">
        <f>MROUND(($H$2*0.11),H4)</f>
        <v>165</v>
      </c>
      <c r="H18" s="31">
        <f>MROUND(($H$2*0.065),H4)</f>
        <v>100</v>
      </c>
      <c r="I18" s="31">
        <f>MROUND(($H$2*0.07),H4)</f>
        <v>105</v>
      </c>
      <c r="J18" s="31">
        <f>MROUND(($H$2*0.04),H4)</f>
        <v>60</v>
      </c>
      <c r="K18" s="31">
        <f>MROUND(($H$2*0.032),H4)</f>
        <v>50</v>
      </c>
      <c r="L18" s="31">
        <f>MROUND(($H$2*0.03),H4)</f>
        <v>45</v>
      </c>
      <c r="M18" s="7"/>
      <c r="N18" s="7"/>
      <c r="O18" s="7"/>
      <c r="P18" s="45">
        <f>L18</f>
        <v>45</v>
      </c>
      <c r="S18" s="39"/>
      <c r="T18" s="56"/>
    </row>
    <row r="19" spans="2:21" ht="15" customHeight="1" x14ac:dyDescent="0.25">
      <c r="B19" s="88"/>
      <c r="C19" s="26" t="s">
        <v>25</v>
      </c>
      <c r="D19" s="27">
        <f>D18*2</f>
        <v>2</v>
      </c>
      <c r="E19" s="27">
        <f>$H$3+D18+D19</f>
        <v>4</v>
      </c>
      <c r="F19" s="32"/>
      <c r="G19" s="33">
        <f>MROUND(($H$2*0.57),H4)-G18</f>
        <v>690</v>
      </c>
      <c r="H19" s="33">
        <f>MROUND(($H$2*0.32),H4)-H18</f>
        <v>380</v>
      </c>
      <c r="I19" s="33">
        <f>MROUND(($H$2*0.2),H4)-I18</f>
        <v>195</v>
      </c>
      <c r="J19" s="33">
        <f>MROUND(($H$2*0.13),H4)-J18</f>
        <v>135</v>
      </c>
      <c r="K19" s="33">
        <f>MROUND(($H$2*0.1),H4)-K18</f>
        <v>100</v>
      </c>
      <c r="L19" s="32">
        <f>MROUND(($H$2*0.07),H4)-L18</f>
        <v>60</v>
      </c>
      <c r="M19" s="7"/>
      <c r="N19" s="7"/>
      <c r="O19" s="7"/>
      <c r="P19" s="45">
        <f>P18+L19</f>
        <v>105</v>
      </c>
      <c r="Q19" s="7"/>
      <c r="R19" s="7"/>
      <c r="S19" s="7"/>
      <c r="T19" s="56"/>
      <c r="U19" s="7"/>
    </row>
    <row r="20" spans="2:21" ht="15" customHeight="1" x14ac:dyDescent="0.25">
      <c r="B20" s="88"/>
      <c r="C20" s="26" t="s">
        <v>26</v>
      </c>
      <c r="D20" s="27">
        <f>D19*2</f>
        <v>4</v>
      </c>
      <c r="E20" s="27">
        <f>$H$3+D19+D20+D18</f>
        <v>8</v>
      </c>
      <c r="F20" s="30"/>
      <c r="G20" s="30"/>
      <c r="H20" s="31">
        <f>MROUND(($H$2*0.73),H4)-(H18+H19)</f>
        <v>615</v>
      </c>
      <c r="I20" s="31">
        <f>MROUND(($H$2*0.5),H4)-(I18+I19)</f>
        <v>450</v>
      </c>
      <c r="J20" s="31">
        <f>MROUND(($H$2*0.33),H4)-(J18+J19)</f>
        <v>300</v>
      </c>
      <c r="K20" s="31">
        <f>MROUND(($H$2*0.23),H4)-(K18+K19)</f>
        <v>195</v>
      </c>
      <c r="L20" s="31">
        <f>MROUND(($H$2*0.15),H4)-(L18+L19)</f>
        <v>120</v>
      </c>
      <c r="M20" s="7"/>
      <c r="N20" s="7"/>
      <c r="O20" s="7"/>
      <c r="P20" s="45">
        <f t="shared" ref="P20:P24" si="2">P19+L20</f>
        <v>225</v>
      </c>
      <c r="S20" s="39"/>
      <c r="T20" s="56"/>
    </row>
    <row r="21" spans="2:21" ht="15" customHeight="1" x14ac:dyDescent="0.25">
      <c r="B21" s="88"/>
      <c r="C21" s="26" t="s">
        <v>27</v>
      </c>
      <c r="D21" s="27">
        <f t="shared" ref="D21:D24" si="3">D20*2</f>
        <v>8</v>
      </c>
      <c r="E21" s="27">
        <f>$H$3+D20+D21+D19+D18</f>
        <v>16</v>
      </c>
      <c r="F21" s="32"/>
      <c r="G21" s="32"/>
      <c r="H21" s="32"/>
      <c r="I21" s="33">
        <f>MROUND(($H$2*0.86),H4)-(I18+I19+I20)</f>
        <v>540</v>
      </c>
      <c r="J21" s="33">
        <f>MROUND(($H$2*0.61),H4)-(J18+J19+J20)</f>
        <v>420</v>
      </c>
      <c r="K21" s="33">
        <f>MROUND(($H$2*0.45),H4)-(K18+K19+K20)</f>
        <v>330</v>
      </c>
      <c r="L21" s="33">
        <f>MROUND(($H$2*0.3),H4)-(L18+L19+L20)</f>
        <v>225</v>
      </c>
      <c r="M21" s="7"/>
      <c r="N21" s="7"/>
      <c r="O21" s="7"/>
      <c r="P21" s="45">
        <f t="shared" si="2"/>
        <v>450</v>
      </c>
      <c r="Q21" s="7"/>
      <c r="R21" s="7"/>
      <c r="S21" s="7"/>
      <c r="T21" s="56"/>
      <c r="U21" s="7"/>
    </row>
    <row r="22" spans="2:21" ht="15" customHeight="1" x14ac:dyDescent="0.25">
      <c r="B22" s="88"/>
      <c r="C22" s="26" t="s">
        <v>28</v>
      </c>
      <c r="D22" s="27">
        <f>D21*2</f>
        <v>16</v>
      </c>
      <c r="E22" s="27">
        <f>$H$3+D21+D22+D20+D19+D18</f>
        <v>32</v>
      </c>
      <c r="F22" s="30"/>
      <c r="G22" s="30"/>
      <c r="H22" s="31"/>
      <c r="I22" s="31"/>
      <c r="J22" s="31">
        <f>MROUND(($H$2*0.86),H4)-(J18+J19+J20+J21)</f>
        <v>375</v>
      </c>
      <c r="K22" s="31">
        <f>MROUND(($H$2*0.7),H4)-(K18+K19+K20+K21)</f>
        <v>375</v>
      </c>
      <c r="L22" s="31">
        <f>MROUND(($H$2*0.5),H4)-(L18+L19+L20+L21)</f>
        <v>300</v>
      </c>
      <c r="M22" s="7"/>
      <c r="N22" s="7"/>
      <c r="O22" s="7"/>
      <c r="P22" s="45">
        <f t="shared" si="2"/>
        <v>750</v>
      </c>
      <c r="S22" s="39"/>
      <c r="T22" s="56"/>
    </row>
    <row r="23" spans="2:21" ht="15" customHeight="1" x14ac:dyDescent="0.25">
      <c r="B23" s="88"/>
      <c r="C23" s="26" t="s">
        <v>29</v>
      </c>
      <c r="D23" s="27">
        <f t="shared" si="3"/>
        <v>32</v>
      </c>
      <c r="E23" s="27">
        <f>$H$3+D22+D23+D21+D20+D19+D18</f>
        <v>64</v>
      </c>
      <c r="F23" s="32"/>
      <c r="G23" s="32"/>
      <c r="H23" s="32"/>
      <c r="I23" s="32"/>
      <c r="J23" s="32"/>
      <c r="K23" s="33">
        <f>MROUND(($H$2*0.9),H4)-(K18+K19+K20+K21+K22)</f>
        <v>300</v>
      </c>
      <c r="L23" s="33">
        <f>MROUND(($H$2*0.7),H4)-(L18+L19+L20+L21+L22)</f>
        <v>300</v>
      </c>
      <c r="M23" s="7"/>
      <c r="N23" s="7"/>
      <c r="O23" s="7"/>
      <c r="P23" s="45">
        <f t="shared" si="2"/>
        <v>1050</v>
      </c>
      <c r="Q23" s="7"/>
      <c r="R23" s="7"/>
      <c r="S23" s="7"/>
      <c r="T23" s="56"/>
      <c r="U23" s="7"/>
    </row>
    <row r="24" spans="2:21" ht="15" customHeight="1" x14ac:dyDescent="0.25">
      <c r="B24" s="88"/>
      <c r="C24" s="26" t="s">
        <v>30</v>
      </c>
      <c r="D24" s="27">
        <f t="shared" si="3"/>
        <v>64</v>
      </c>
      <c r="E24" s="27">
        <f>$H$3+D23+D24+D22+D21+D20+D19+D18</f>
        <v>128</v>
      </c>
      <c r="F24" s="30"/>
      <c r="G24" s="30"/>
      <c r="H24" s="30"/>
      <c r="I24" s="30"/>
      <c r="J24" s="30"/>
      <c r="K24" s="30"/>
      <c r="L24" s="31">
        <f>MROUND(($H$2*0.9),H4)-(L19+L20+L21+L22+L23+L18)</f>
        <v>300</v>
      </c>
      <c r="M24" s="7"/>
      <c r="N24" s="7"/>
      <c r="O24" s="7"/>
      <c r="P24" s="45">
        <f t="shared" si="2"/>
        <v>1350</v>
      </c>
      <c r="S24" s="39"/>
      <c r="T24" s="56"/>
    </row>
    <row r="25" spans="2:21" x14ac:dyDescent="0.25">
      <c r="C25" s="7"/>
      <c r="D25" s="7"/>
      <c r="E25" s="29" t="s">
        <v>22</v>
      </c>
      <c r="F25" s="28">
        <f>(($H$2*D18)*$H$3*$F$4)+(($H$2-F18)*D18*$F$4)</f>
        <v>510</v>
      </c>
      <c r="G25" s="28">
        <f>(($H$2*$H$3)*D18*$F$4)+(($H$2-G18)*D18*$F$4)+(($H$2-(G18+G19))*D19*$F$4)</f>
        <v>825</v>
      </c>
      <c r="H25" s="28">
        <f>(($H$2*$H$3)*D18*$F$4)+(($H$2-H18)*D18*$F$4)+(($H$2-(H18+H19))*D19*$F$4)+(($H$2-(H18+H19+H20))*D20*$F$4)</f>
        <v>1312</v>
      </c>
      <c r="I25" s="28">
        <f>(($H$2*$H$3)*D18*$F$4)+(($H$2-I18)*D18*$F$4)+(($H$2-(I18+I19))*D19*$F$4)+(($H$2-(I18+I19+I20))*D20*$F$4)+(($H$2-(I18+I19+I20+I21))*D21*$F$4)</f>
        <v>1995</v>
      </c>
      <c r="J25" s="28">
        <f>(($H$2*$H$3)*D18*$F$4)+(($H$2-J18)*D18*$F$4)+(($H$2-(J18+J19))*D19*$F$4)+(($H$2-(J18+J19+J20))*D20*$F$4)+(($H$2-(J18+J19+J20+J21))*D21*$F$4)+(($H$2-(J18+J19+J20+J21+J22))*D22*$F$4)</f>
        <v>3522</v>
      </c>
      <c r="K25" s="28">
        <f>(($H$2*$H$3)*D18*$F$4)+(($H$2-K18)*D18*$F$4)+(($H$2-(K18+K19))*D19*$F$4)+(($H$2-(K18+K19+K20))*D20*$F$4)+(($H$2-(K18+K19+K20+K21))*D21*$F$4)+(($H$2-(K18+K19+K20+K21+K22))*D22*$F$4)+(($H$2-(K18+K19+K20+K21+K22+K23))*D23*$F$4)</f>
        <v>5774</v>
      </c>
      <c r="L25" s="28">
        <f>(($H$2*$H$3)*D18*$F$4)+(($H$2-L18)*D18*$F$4)+(($H$2-(L18+L19))*D19*$F$4)+(($H$2-(L18+L19+L20))*D20*$F$4)+(($H$2-(L18+L19+L20+L21))*D21*$F$4)+(($H$2-(L18+L19+L20+L21+L22))*D22*$F$4)+(($H$2-(L18+L19+L20+L21+L22+L23))*D23*$F$4)+(($H$2-(L18+L19+L20+L21+L22+L23+L24))*D24*$F$4)</f>
        <v>11049</v>
      </c>
      <c r="M25" s="7"/>
      <c r="N25" s="7"/>
      <c r="O25" s="7"/>
      <c r="P25" s="44">
        <f>H2</f>
        <v>1500</v>
      </c>
      <c r="S25" s="39"/>
      <c r="T25" s="40"/>
    </row>
    <row r="26" spans="2:21" x14ac:dyDescent="0.25">
      <c r="C26" s="7"/>
      <c r="D26" s="7"/>
      <c r="E26" s="7"/>
      <c r="F26" s="7"/>
      <c r="G26" s="7"/>
      <c r="H26" s="7"/>
      <c r="I26" s="7"/>
      <c r="J26" s="7"/>
      <c r="K26" s="7"/>
      <c r="L26" s="7"/>
      <c r="M26" s="7"/>
      <c r="N26" s="7"/>
      <c r="O26" s="7"/>
      <c r="P26" s="55"/>
      <c r="S26" s="39"/>
      <c r="T26" s="40"/>
    </row>
    <row r="27" spans="2:21" x14ac:dyDescent="0.25">
      <c r="C27" s="7"/>
      <c r="D27" s="90" t="s">
        <v>55</v>
      </c>
      <c r="E27" s="91"/>
      <c r="F27" s="92"/>
      <c r="G27" s="7"/>
      <c r="H27" s="7"/>
      <c r="I27" s="7"/>
      <c r="J27" s="7"/>
      <c r="K27" s="7"/>
      <c r="L27" s="7"/>
      <c r="M27" s="7"/>
      <c r="N27" s="62" t="s">
        <v>43</v>
      </c>
      <c r="O27" s="7"/>
      <c r="P27" s="55"/>
      <c r="Q27" s="61"/>
      <c r="S27" s="39"/>
      <c r="T27" s="40"/>
    </row>
    <row r="28" spans="2:21" x14ac:dyDescent="0.25">
      <c r="C28" s="7"/>
      <c r="D28" s="3" t="s">
        <v>34</v>
      </c>
      <c r="E28" s="3" t="s">
        <v>45</v>
      </c>
      <c r="F28" s="3" t="s">
        <v>35</v>
      </c>
      <c r="G28" s="3" t="s">
        <v>36</v>
      </c>
      <c r="H28" s="3" t="s">
        <v>37</v>
      </c>
      <c r="I28" s="3" t="s">
        <v>38</v>
      </c>
      <c r="J28" s="3" t="s">
        <v>39</v>
      </c>
      <c r="K28" s="3" t="s">
        <v>40</v>
      </c>
      <c r="L28" s="3" t="s">
        <v>41</v>
      </c>
      <c r="M28" s="44"/>
      <c r="N28" s="63">
        <f>MROUND(($H$2*0.098),H4)</f>
        <v>145</v>
      </c>
      <c r="O28" s="44"/>
      <c r="P28" s="44">
        <v>0</v>
      </c>
      <c r="Q28" s="67"/>
      <c r="R28" s="61"/>
      <c r="S28" s="61"/>
      <c r="T28" s="61"/>
      <c r="U28" s="61"/>
    </row>
    <row r="29" spans="2:21" ht="15" customHeight="1" x14ac:dyDescent="0.25">
      <c r="B29" s="88">
        <v>3</v>
      </c>
      <c r="C29" s="26" t="s">
        <v>24</v>
      </c>
      <c r="D29" s="27">
        <f>$H$3</f>
        <v>1</v>
      </c>
      <c r="E29" s="27">
        <f>$H$3+D29</f>
        <v>2</v>
      </c>
      <c r="F29" s="31">
        <f>MROUND(($H$2*0.4),H4)</f>
        <v>600</v>
      </c>
      <c r="G29" s="31">
        <f>MROUND(($H$2*0.28),H4)</f>
        <v>420</v>
      </c>
      <c r="H29" s="31">
        <f>MROUND(($H$2*0.18),$H$4)</f>
        <v>270</v>
      </c>
      <c r="I29" s="31">
        <f>MROUND(($H$2*0.15),$H$4)</f>
        <v>225</v>
      </c>
      <c r="J29" s="31">
        <f>MROUND(($H$2*0.13),$H$4)</f>
        <v>195</v>
      </c>
      <c r="K29" s="31">
        <f>MROUND(($H$2*0.12),$H$4)</f>
        <v>180</v>
      </c>
      <c r="L29" s="31">
        <f>MROUND(($H$2*0.12),$H$4)</f>
        <v>180</v>
      </c>
      <c r="M29" s="44"/>
      <c r="N29" s="64">
        <f>MROUND(($H$2*0.18),H4)-N28</f>
        <v>125</v>
      </c>
      <c r="O29" s="44"/>
      <c r="P29" s="45">
        <f>N28</f>
        <v>145</v>
      </c>
      <c r="Q29" s="67"/>
      <c r="R29" s="61"/>
      <c r="S29" s="61"/>
      <c r="T29" s="61"/>
      <c r="U29" s="61"/>
    </row>
    <row r="30" spans="2:21" ht="15" customHeight="1" x14ac:dyDescent="0.25">
      <c r="B30" s="88"/>
      <c r="C30" s="26" t="s">
        <v>25</v>
      </c>
      <c r="D30" s="27">
        <f>D29*2</f>
        <v>2</v>
      </c>
      <c r="E30" s="27">
        <f>$H$3+D29+D30</f>
        <v>4</v>
      </c>
      <c r="F30" s="32"/>
      <c r="G30" s="33">
        <f>MROUND(($H$2*0.61),H4)-G29</f>
        <v>495</v>
      </c>
      <c r="H30" s="33">
        <f>MROUND(($H$2*0.42),$H$4)-I29</f>
        <v>405</v>
      </c>
      <c r="I30" s="33">
        <f>MROUND(($H$2*0.32),$H$4)-I29</f>
        <v>255</v>
      </c>
      <c r="J30" s="33">
        <f>MROUND(($H$2*0.26),$H$4)-J29</f>
        <v>195</v>
      </c>
      <c r="K30" s="33">
        <f>MROUND(($H$2*0.25),$H$4)-K29</f>
        <v>195</v>
      </c>
      <c r="L30" s="33">
        <f>MROUND(($H$2*0.2),$H$4)-L29</f>
        <v>120</v>
      </c>
      <c r="M30" s="44"/>
      <c r="N30" s="63">
        <f>MROUND(($H$2*0.27),H4)-(N28+N29)</f>
        <v>135</v>
      </c>
      <c r="O30" s="44"/>
      <c r="P30" s="45">
        <f t="shared" ref="P30:P36" si="4">P29+N29</f>
        <v>270</v>
      </c>
      <c r="Q30" s="67"/>
      <c r="R30" s="61"/>
      <c r="S30" s="61"/>
      <c r="T30" s="61"/>
      <c r="U30" s="61"/>
    </row>
    <row r="31" spans="2:21" ht="15" customHeight="1" x14ac:dyDescent="0.25">
      <c r="B31" s="88"/>
      <c r="C31" s="26" t="s">
        <v>26</v>
      </c>
      <c r="D31" s="27">
        <f>D30*2</f>
        <v>4</v>
      </c>
      <c r="E31" s="27">
        <f>$H$3+D30+D31+D29</f>
        <v>8</v>
      </c>
      <c r="F31" s="31"/>
      <c r="G31" s="31"/>
      <c r="H31" s="31">
        <f>MROUND(($H$2*0.77),$H$4)-(H29+H30)</f>
        <v>480</v>
      </c>
      <c r="I31" s="31">
        <f>MROUND(($H$2*0.52),$H$4)-(I29+I30)</f>
        <v>300</v>
      </c>
      <c r="J31" s="31">
        <f>MROUND(($H$2*0.4),$H$4)-(J29+J30)</f>
        <v>210</v>
      </c>
      <c r="K31" s="31">
        <f>MROUND(($H$2*0.36),$H$4)-(K29+K30)</f>
        <v>165</v>
      </c>
      <c r="L31" s="31">
        <f>MROUND(($H$2*0.3),$H$4)-(L29+L30)</f>
        <v>150</v>
      </c>
      <c r="M31" s="44"/>
      <c r="N31" s="64">
        <f>MROUND(($H$2*0.36),H4)-(N28+N29+N30)</f>
        <v>135</v>
      </c>
      <c r="O31" s="44"/>
      <c r="P31" s="45">
        <f t="shared" si="4"/>
        <v>405</v>
      </c>
      <c r="Q31" s="67"/>
      <c r="R31" s="61"/>
      <c r="S31" s="61"/>
      <c r="T31" s="61"/>
      <c r="U31" s="61"/>
    </row>
    <row r="32" spans="2:21" ht="15" customHeight="1" x14ac:dyDescent="0.25">
      <c r="B32" s="88"/>
      <c r="C32" s="26" t="s">
        <v>27</v>
      </c>
      <c r="D32" s="27">
        <f>D31*2</f>
        <v>8</v>
      </c>
      <c r="E32" s="27">
        <f>$H$3+D31+D32+D30+D29</f>
        <v>16</v>
      </c>
      <c r="F32" s="32"/>
      <c r="G32" s="33"/>
      <c r="H32" s="33"/>
      <c r="I32" s="33">
        <f>MROUND(($H$2*0.83),H4)-(I29+I30+I31)</f>
        <v>465</v>
      </c>
      <c r="J32" s="33">
        <f>MROUND(($H$2*0.6),$H$4)-(J29+J30+J31)</f>
        <v>300</v>
      </c>
      <c r="K32" s="33">
        <f>MROUND(($H$2*0.48),$H$4)-(K29+K30+K31)</f>
        <v>180</v>
      </c>
      <c r="L32" s="33">
        <f>MROUND(($H$2*0.4),$H$4)-(L29+L30+L31)</f>
        <v>150</v>
      </c>
      <c r="M32" s="44"/>
      <c r="N32" s="63">
        <f>MROUND(($H$2*0.45),H4)-(N28+N29+N30+N31)</f>
        <v>135</v>
      </c>
      <c r="O32" s="44"/>
      <c r="P32" s="45">
        <f t="shared" si="4"/>
        <v>540</v>
      </c>
      <c r="Q32" s="67"/>
      <c r="R32" s="61"/>
      <c r="S32" s="61"/>
      <c r="T32" s="61"/>
      <c r="U32" s="61"/>
    </row>
    <row r="33" spans="2:22" ht="15" customHeight="1" x14ac:dyDescent="0.25">
      <c r="B33" s="88"/>
      <c r="C33" s="26" t="s">
        <v>28</v>
      </c>
      <c r="D33" s="27">
        <f t="shared" ref="D33:D35" si="5">D32*2</f>
        <v>16</v>
      </c>
      <c r="E33" s="27">
        <f>$H$3+D32+D33+D31+D30+D29</f>
        <v>32</v>
      </c>
      <c r="F33" s="31"/>
      <c r="G33" s="31"/>
      <c r="H33" s="31"/>
      <c r="I33" s="31"/>
      <c r="J33" s="31">
        <f>MROUND(($H$2*0.85),$H$4)-(J29+J30+J31+J32)</f>
        <v>375</v>
      </c>
      <c r="K33" s="31">
        <f>MROUND(($H$2*0.7),$H$4)-(K29+K30+K31+K32)</f>
        <v>330</v>
      </c>
      <c r="L33" s="31">
        <f>MROUND(($H$2*0.55),$H$4)-(L29+L30+L31+L32)</f>
        <v>225</v>
      </c>
      <c r="M33" s="44"/>
      <c r="N33" s="64">
        <f>MROUND(($H$2*0.6),H4)-(N28+N29+N30+N31+N32)</f>
        <v>225</v>
      </c>
      <c r="O33" s="44"/>
      <c r="P33" s="45">
        <f t="shared" si="4"/>
        <v>675</v>
      </c>
      <c r="Q33" s="67"/>
      <c r="R33" s="61"/>
      <c r="S33" s="61"/>
      <c r="T33" s="61"/>
      <c r="U33" s="61"/>
    </row>
    <row r="34" spans="2:22" ht="15" customHeight="1" x14ac:dyDescent="0.25">
      <c r="B34" s="88"/>
      <c r="C34" s="26" t="s">
        <v>29</v>
      </c>
      <c r="D34" s="27">
        <f t="shared" si="5"/>
        <v>32</v>
      </c>
      <c r="E34" s="27">
        <f>$H$3+D33+D34+D32+D31+D30+D29</f>
        <v>64</v>
      </c>
      <c r="F34" s="32"/>
      <c r="G34" s="33"/>
      <c r="H34" s="33"/>
      <c r="I34" s="33"/>
      <c r="J34" s="33"/>
      <c r="K34" s="33">
        <f>MROUND(($H$2*0.87),$H$4)-(K29+K30+K31+K32+K33)</f>
        <v>255</v>
      </c>
      <c r="L34" s="33">
        <f>MROUND(($H$2*0.77),$H$4)-(L29+L30+L31+L32+L33)</f>
        <v>330</v>
      </c>
      <c r="M34" s="44"/>
      <c r="N34" s="63">
        <f>MROUND(($H$2*0.8),H4)-(N29+N30+N31+N32+N33+N28)</f>
        <v>300</v>
      </c>
      <c r="O34" s="44"/>
      <c r="P34" s="45">
        <f t="shared" si="4"/>
        <v>900</v>
      </c>
      <c r="Q34" s="67"/>
      <c r="R34" s="61"/>
      <c r="S34" s="61"/>
      <c r="T34" s="61"/>
      <c r="U34" s="61"/>
    </row>
    <row r="35" spans="2:22" ht="15" customHeight="1" x14ac:dyDescent="0.25">
      <c r="B35" s="88"/>
      <c r="C35" s="26" t="s">
        <v>30</v>
      </c>
      <c r="D35" s="27">
        <f t="shared" si="5"/>
        <v>64</v>
      </c>
      <c r="E35" s="27">
        <f>$H$3+D34+D35+D33+D32+D31+D30+D29</f>
        <v>128</v>
      </c>
      <c r="F35" s="31"/>
      <c r="G35" s="31"/>
      <c r="H35" s="31"/>
      <c r="I35" s="31"/>
      <c r="J35" s="31"/>
      <c r="K35" s="31"/>
      <c r="L35" s="31">
        <f>MROUND(($H$2*0.9),$H$4)-(L30+L31+L32+L33+L34+L29)</f>
        <v>195</v>
      </c>
      <c r="M35" s="44"/>
      <c r="N35" s="64">
        <f>MROUND(($H$2*0.9),H4)-(N28+N30+N31+N32+N33+N34+N29)</f>
        <v>150</v>
      </c>
      <c r="O35" s="44"/>
      <c r="P35" s="45">
        <f t="shared" si="4"/>
        <v>1200</v>
      </c>
      <c r="Q35" s="67"/>
      <c r="R35" s="61"/>
      <c r="S35" s="61"/>
      <c r="T35" s="61"/>
      <c r="U35" s="61"/>
    </row>
    <row r="36" spans="2:22" ht="15" customHeight="1" x14ac:dyDescent="0.25">
      <c r="C36" s="7"/>
      <c r="D36" s="7"/>
      <c r="E36" s="29" t="s">
        <v>22</v>
      </c>
      <c r="F36" s="28">
        <f>(($H$2*D29)*$H$3*$F$4)+(($H$2-F29)*D29*$F$4)</f>
        <v>480</v>
      </c>
      <c r="G36" s="28">
        <f>(($H$2*$H$3)*D29*$F$4)+(($H$2-G29)*D29*$F$4)+(($H$2-(G29+G30))*D30*$F$4)</f>
        <v>750</v>
      </c>
      <c r="H36" s="28">
        <f>(($H$2*$H$3)*D29*$F$4)+(($H$2-H29)*D29*$F$4)+(($H$2-(H29+H30))*D30*$F$4)+(($H$2-(H29+H30+H31))*D31*$F$4)</f>
        <v>1152</v>
      </c>
      <c r="I36" s="28">
        <f>(($H$2*$H$3)*D29*$F$4)+(($H$2-I29)*D29*$F$4)+(($H$2-(I29+I30))*D30*$F$4)+(($H$2-(I29+I30+I31))*D31*$F$4)+(($H$2-(I29+I30+I31+I32))*D32*$F$4)</f>
        <v>1947</v>
      </c>
      <c r="J36" s="28">
        <f>(($H$2*$H$3)*D29*$F$4)+(($H$2-J29)*D29*$F$4)+(($H$2-(J29+J30))*D30*$F$4)+(($H$2-(J29+J30+J31))*D31*$F$4)+(($H$2-(J29+J30+J31+J32))*D32*$F$4)+(($H$2-(J29+J30+J31+J32+J33))*D33*$F$4)</f>
        <v>3405</v>
      </c>
      <c r="K36" s="28">
        <f>(($H$2*$H$3)*D29*$F$4)+(($H$2-K29)*D29*$F$4)+(($H$2-(K29+K30))*D30*$F$4)+(($H$2-(K29+K30+K31))*D31*$F$4)+(($H$2-(K29+K30+K31+K32))*D32*$F$4)+(($H$2-(K29+K30+K31+K32+K33))*D33*$F$4)+(($H$2-(K29+K30+K31+K32+K33+K34))*D34*$F$4)</f>
        <v>5718</v>
      </c>
      <c r="L36" s="28">
        <f>(($H$2*$H$3)*D29*$F$4)+(($H$2-L29)*D29*$F$4)+(($H$2-(L29+L30))*D30*$F$4)+(($H$2-(L29+L30+L31))*D31*$F$4)+(($H$2-(L29+L30+L31+L32))*D32*$F$4)+(($H$2-(L29+L30+L31+L32+L33))*D33*$F$4)+(($H$2-(L29+L30+L31+L32+L33+L34))*D34*$F$4)+(($H$2-(L29+L30+L31+L32+L33+L34+L35))*D35*$F$4)</f>
        <v>9612</v>
      </c>
      <c r="M36" s="44"/>
      <c r="N36" s="63">
        <f>MROUND(($H$2*0.96),H4)-(N28+N29+N31+N32+N33+N34+N35+N30)</f>
        <v>90</v>
      </c>
      <c r="O36" s="44"/>
      <c r="P36" s="45">
        <f t="shared" si="4"/>
        <v>1350</v>
      </c>
      <c r="Q36" s="67"/>
      <c r="R36" s="61"/>
      <c r="S36" s="70"/>
      <c r="T36" s="61"/>
      <c r="U36" s="61"/>
    </row>
    <row r="37" spans="2:22" ht="15" customHeight="1" x14ac:dyDescent="0.25">
      <c r="C37" s="7"/>
      <c r="D37" s="7"/>
      <c r="E37" s="7"/>
      <c r="F37" s="7"/>
      <c r="G37" s="7"/>
      <c r="H37" s="7"/>
      <c r="I37" s="7"/>
      <c r="J37" s="7"/>
      <c r="K37" s="7"/>
      <c r="L37" s="7"/>
      <c r="M37" s="44"/>
      <c r="N37" s="44"/>
      <c r="O37" s="44"/>
      <c r="P37" s="45">
        <f>P36+N36</f>
        <v>1440</v>
      </c>
      <c r="Q37" s="67"/>
      <c r="R37" s="61"/>
      <c r="S37" s="70"/>
      <c r="T37" s="61"/>
      <c r="U37" s="61"/>
    </row>
    <row r="38" spans="2:22" x14ac:dyDescent="0.25">
      <c r="C38" s="7"/>
      <c r="D38" s="90" t="s">
        <v>56</v>
      </c>
      <c r="E38" s="91"/>
      <c r="F38" s="92"/>
      <c r="G38" s="7"/>
      <c r="H38" s="7"/>
      <c r="I38" s="7"/>
      <c r="J38" s="7"/>
      <c r="K38" s="7"/>
      <c r="L38" s="7"/>
      <c r="M38" s="62" t="s">
        <v>42</v>
      </c>
      <c r="N38" s="44"/>
      <c r="O38" s="44"/>
      <c r="P38" s="44"/>
      <c r="Q38" s="61"/>
      <c r="R38" s="61"/>
    </row>
    <row r="39" spans="2:22" x14ac:dyDescent="0.25">
      <c r="C39" s="7"/>
      <c r="D39" s="3" t="s">
        <v>34</v>
      </c>
      <c r="E39" s="3" t="s">
        <v>45</v>
      </c>
      <c r="F39" s="3" t="s">
        <v>35</v>
      </c>
      <c r="G39" s="3" t="s">
        <v>36</v>
      </c>
      <c r="H39" s="3" t="s">
        <v>37</v>
      </c>
      <c r="I39" s="3" t="s">
        <v>38</v>
      </c>
      <c r="J39" s="3" t="s">
        <v>39</v>
      </c>
      <c r="K39" s="3" t="s">
        <v>40</v>
      </c>
      <c r="L39" s="65" t="s">
        <v>41</v>
      </c>
      <c r="M39" s="63">
        <f>MROUND(($H$2*0.09),H4)</f>
        <v>135</v>
      </c>
      <c r="N39" s="44"/>
      <c r="O39" s="44"/>
      <c r="P39" s="44"/>
      <c r="Q39" s="61"/>
      <c r="R39" s="61"/>
    </row>
    <row r="40" spans="2:22" ht="15" customHeight="1" x14ac:dyDescent="0.25">
      <c r="B40" s="88">
        <v>4</v>
      </c>
      <c r="C40" s="26" t="s">
        <v>24</v>
      </c>
      <c r="D40" s="27">
        <f>$H$3</f>
        <v>1</v>
      </c>
      <c r="E40" s="27">
        <f>$H$3+D40</f>
        <v>2</v>
      </c>
      <c r="F40" s="31">
        <f>MROUND(($H$2*0.34),$H$4)</f>
        <v>510</v>
      </c>
      <c r="G40" s="31">
        <f>MROUND(($H$2*0.22),$H$4)</f>
        <v>330</v>
      </c>
      <c r="H40" s="31">
        <f>MROUND(($H$2*0.19),$H$4)</f>
        <v>285</v>
      </c>
      <c r="I40" s="31">
        <f>MROUND(($H$2*0.15),$H$4)</f>
        <v>225</v>
      </c>
      <c r="J40" s="31">
        <f>MROUND(($H$2*0.12),$H$4)</f>
        <v>180</v>
      </c>
      <c r="K40" s="31">
        <f>MROUND(($H$2*0.1),$H$4)</f>
        <v>150</v>
      </c>
      <c r="L40" s="31">
        <f>MROUND(($H$2*0.11),$H$4)</f>
        <v>165</v>
      </c>
      <c r="M40" s="64">
        <f>MROUND(($H$2*0.17),H4)-M39</f>
        <v>120</v>
      </c>
      <c r="N40" s="44"/>
      <c r="O40" s="45">
        <f>M39</f>
        <v>135</v>
      </c>
      <c r="P40" s="44"/>
      <c r="Q40" s="61"/>
      <c r="R40" s="61"/>
    </row>
    <row r="41" spans="2:22" ht="15" customHeight="1" x14ac:dyDescent="0.25">
      <c r="B41" s="88"/>
      <c r="C41" s="26" t="s">
        <v>25</v>
      </c>
      <c r="D41" s="27">
        <f>D40*2</f>
        <v>2</v>
      </c>
      <c r="E41" s="27">
        <f>$H$3+D40+D41</f>
        <v>4</v>
      </c>
      <c r="F41" s="32"/>
      <c r="G41" s="33">
        <f>MROUND(($H$2*0.47),$H$4)-G40</f>
        <v>375</v>
      </c>
      <c r="H41" s="32">
        <f>MROUND(($H$2*0.36),$H$4)-H40</f>
        <v>255</v>
      </c>
      <c r="I41" s="32">
        <f>MROUND(($H$2*0.3),$H$4)-I40</f>
        <v>225</v>
      </c>
      <c r="J41" s="32">
        <f>MROUND(($H$2*0.24),$H$4)-J40</f>
        <v>180</v>
      </c>
      <c r="K41" s="32">
        <f>MROUND(($H$2*0.2),$H$4)-K40</f>
        <v>150</v>
      </c>
      <c r="L41" s="32">
        <f>MROUND(($H$2*0.19),$H$4)-L40</f>
        <v>120</v>
      </c>
      <c r="M41" s="63">
        <f>MROUND(($H$2*0.25),H4)-(M39+M40)</f>
        <v>120</v>
      </c>
      <c r="N41" s="44"/>
      <c r="O41" s="45">
        <f t="shared" ref="O41:O47" si="6">O40+M40</f>
        <v>255</v>
      </c>
      <c r="P41" s="44"/>
      <c r="Q41" s="61"/>
      <c r="R41" s="61"/>
    </row>
    <row r="42" spans="2:22" ht="15" customHeight="1" x14ac:dyDescent="0.25">
      <c r="B42" s="88"/>
      <c r="C42" s="26" t="s">
        <v>26</v>
      </c>
      <c r="D42" s="27">
        <f>D41*2</f>
        <v>4</v>
      </c>
      <c r="E42" s="27">
        <f>$H$3+D41+D42+D40</f>
        <v>8</v>
      </c>
      <c r="F42" s="30"/>
      <c r="G42" s="30"/>
      <c r="H42" s="31">
        <f>MROUND(($H$2*0.6),$H$4)-(H40+H41)</f>
        <v>360</v>
      </c>
      <c r="I42" s="31">
        <f>MROUND(($H$2*0.45),$H$4)-(I40+I41)</f>
        <v>225</v>
      </c>
      <c r="J42" s="31">
        <f>MROUND(($H$2*0.36),$H$4)-(J40+J41)</f>
        <v>180</v>
      </c>
      <c r="K42" s="31">
        <f>MROUND(($H$2*0.32),$H$4)-(K40+K41)</f>
        <v>180</v>
      </c>
      <c r="L42" s="31">
        <f>MROUND(($H$2*0.27),$H$4)-(L40+L41)</f>
        <v>120</v>
      </c>
      <c r="M42" s="64">
        <f>MROUND(($H$2*0.34),H4)-(M39+M40+M41)</f>
        <v>135</v>
      </c>
      <c r="N42" s="44"/>
      <c r="O42" s="45">
        <f t="shared" si="6"/>
        <v>375</v>
      </c>
      <c r="P42" s="44"/>
      <c r="Q42" s="61"/>
      <c r="R42" s="61"/>
    </row>
    <row r="43" spans="2:22" ht="15" customHeight="1" x14ac:dyDescent="0.25">
      <c r="B43" s="88"/>
      <c r="C43" s="26" t="s">
        <v>27</v>
      </c>
      <c r="D43" s="27">
        <f>D42*2</f>
        <v>8</v>
      </c>
      <c r="E43" s="27">
        <f>$H$3+D42+D43+D41+D40</f>
        <v>16</v>
      </c>
      <c r="F43" s="32"/>
      <c r="G43" s="32"/>
      <c r="H43" s="32"/>
      <c r="I43" s="32">
        <f>MROUND(($H$2*0.74),$H$4)-(I40+I41+I42)</f>
        <v>435</v>
      </c>
      <c r="J43" s="32">
        <f>MROUND(($H$2*0.47),$H$4)-(J40+J41+J42)</f>
        <v>165</v>
      </c>
      <c r="K43" s="32">
        <f>MROUND(($H$2*0.4),$H$4)-(K40+K41+K42)</f>
        <v>120</v>
      </c>
      <c r="L43" s="32">
        <f>MROUND(($H$2*0.37),$H$4)-(L40+L41+L42)</f>
        <v>150</v>
      </c>
      <c r="M43" s="63">
        <f>MROUND(($H$2*0.42),H4)-(M39+M40+M41+M42)</f>
        <v>120</v>
      </c>
      <c r="N43" s="44"/>
      <c r="O43" s="45">
        <f t="shared" si="6"/>
        <v>510</v>
      </c>
      <c r="P43" s="44"/>
      <c r="Q43" s="61"/>
      <c r="R43" s="61"/>
    </row>
    <row r="44" spans="2:22" ht="15" customHeight="1" x14ac:dyDescent="0.25">
      <c r="B44" s="88"/>
      <c r="C44" s="26" t="s">
        <v>28</v>
      </c>
      <c r="D44" s="27">
        <f t="shared" ref="D44:D46" si="7">D43*2</f>
        <v>16</v>
      </c>
      <c r="E44" s="27">
        <f>$H$3+D43+D44+D42+D41+D40</f>
        <v>32</v>
      </c>
      <c r="F44" s="30"/>
      <c r="G44" s="30"/>
      <c r="H44" s="31"/>
      <c r="I44" s="31"/>
      <c r="J44" s="31">
        <f>MROUND(($H$2*0.75),$H$4)-(J40+J41+J42+J43)</f>
        <v>420</v>
      </c>
      <c r="K44" s="31">
        <f>MROUND(($H$2*0.52),$H$4)-(K40+K41+K42+K43)</f>
        <v>180</v>
      </c>
      <c r="L44" s="31">
        <f>MROUND(($H$2*0.46),$H$4)-(L40+L41+L42+L43)</f>
        <v>135</v>
      </c>
      <c r="M44" s="64">
        <f>MROUND(($H$2*0.5),H4)-(M39+M40+M41+M42+M43)</f>
        <v>120</v>
      </c>
      <c r="N44" s="44"/>
      <c r="O44" s="45">
        <f t="shared" si="6"/>
        <v>630</v>
      </c>
      <c r="P44" s="44"/>
      <c r="Q44" s="61"/>
      <c r="R44" s="61"/>
    </row>
    <row r="45" spans="2:22" ht="15" customHeight="1" x14ac:dyDescent="0.25">
      <c r="B45" s="88"/>
      <c r="C45" s="26" t="s">
        <v>29</v>
      </c>
      <c r="D45" s="27">
        <f t="shared" si="7"/>
        <v>32</v>
      </c>
      <c r="E45" s="27">
        <f>$H$3+D44+D45+D43+D42+D41+D40</f>
        <v>64</v>
      </c>
      <c r="F45" s="32"/>
      <c r="G45" s="32"/>
      <c r="H45" s="32"/>
      <c r="I45" s="32"/>
      <c r="J45" s="32"/>
      <c r="K45" s="33">
        <f>MROUND(($H$2*0.76),$H$4)-(K40+K41+K42+K43+K44)</f>
        <v>360</v>
      </c>
      <c r="L45" s="33">
        <f>MROUND(($H$2*0.58),$H$4)-(L40+L41+L42+L43+L44)</f>
        <v>180</v>
      </c>
      <c r="M45" s="63">
        <f>MROUND(($H$2*0.69),H4)-(M40+M41+M42+M43+M44+M39)</f>
        <v>285</v>
      </c>
      <c r="N45" s="44"/>
      <c r="O45" s="45">
        <f t="shared" si="6"/>
        <v>750</v>
      </c>
      <c r="P45" s="44"/>
      <c r="Q45" s="61"/>
      <c r="R45" s="61"/>
    </row>
    <row r="46" spans="2:22" ht="15" customHeight="1" x14ac:dyDescent="0.25">
      <c r="B46" s="88"/>
      <c r="C46" s="26" t="s">
        <v>30</v>
      </c>
      <c r="D46" s="27">
        <f t="shared" si="7"/>
        <v>64</v>
      </c>
      <c r="E46" s="27">
        <f>$H$3+D45+D46+D44+D43+D42+D41+D40</f>
        <v>128</v>
      </c>
      <c r="F46" s="30"/>
      <c r="G46" s="30"/>
      <c r="H46" s="30"/>
      <c r="I46" s="30"/>
      <c r="J46" s="30"/>
      <c r="K46" s="30"/>
      <c r="L46" s="31">
        <f>MROUND(($H$2*0.8),$H$4)-(L41+L42+L43+L44+L45+L40)</f>
        <v>330</v>
      </c>
      <c r="M46" s="64">
        <f>MROUND(($H$2*0.9),H4)-(M39+M41+M42+M43+M44+M45+M40)</f>
        <v>315</v>
      </c>
      <c r="N46" s="68"/>
      <c r="O46" s="45">
        <f t="shared" si="6"/>
        <v>1035</v>
      </c>
      <c r="P46" s="44"/>
      <c r="Q46" s="61"/>
      <c r="R46" s="61"/>
    </row>
    <row r="47" spans="2:22" x14ac:dyDescent="0.25">
      <c r="C47" s="7"/>
      <c r="D47" s="7"/>
      <c r="E47" s="29" t="s">
        <v>22</v>
      </c>
      <c r="F47" s="28">
        <f>(($H$2*D40)*$H$3*$F$4)+(($H$2-F40)*D40*$F$4)</f>
        <v>498</v>
      </c>
      <c r="G47" s="28">
        <f>(($H$2*$H$3)*D40*$F$4)+(($H$2-G40)*D40*$F$4)+(($H$2-(G40+G41))*D41*$F$4)</f>
        <v>852</v>
      </c>
      <c r="H47" s="28">
        <f>(($H$2*$H$3)*D40*$F$4)+(($H$2-H40)*D40*$F$4)+(($H$2-(H40+H41))*D41*$F$4)+(($H$2-(H40+H41+H42))*D42*$F$4)</f>
        <v>1407</v>
      </c>
      <c r="I47" s="28">
        <f>(($H$2*$H$3)*D40*$F$4)+(($H$2-I40)*D40*$F$4)+(($H$2-(I40+I41))*D41*$F$4)+(($H$2-(I40+I41+I42))*D42*$F$4)+(($H$2-(I40+I41+I42+I43))*D43*$F$4)</f>
        <v>2259</v>
      </c>
      <c r="J47" s="28">
        <f>(($H$2*$H$3)*D40*$F$4)+(($H$2-J40)*D40*$F$4)+(($H$2-(J40+J41))*D41*$F$4)+(($H$2-(J40+J41+J42))*D42*$F$4)+(($H$2-(J40+J41+J42+J43))*D43*$F$4)+(($H$2-(J40+J41+J42+J43+J44))*D44*$F$4)</f>
        <v>4260</v>
      </c>
      <c r="K47" s="28">
        <f>(($H$2*$H$3)*D40*$F$4)+(($H$2-K40)*D40*$F$4)+(($H$2-(K40+K41))*D41*$F$4)+(($H$2-(K40+K41+K42))*D42*$F$4)+(($H$2-(K40+K41+K42+K43))*D43*$F$4)+(($H$2-(K40+K41+K42+K43+K44))*D44*$F$4)+(($H$2-(K40+K41+K42+K43+K44+K45))*D45*$F$4)</f>
        <v>7914</v>
      </c>
      <c r="L47" s="28">
        <f>(($H$2*$H$3)*D40*$F$4)+(($H$2-L40)*D40*$F$4)+(($H$2-(L40+L41))*D41*$F$4)+(($H$2-(L40+L41+L42))*D42*$F$4)+(($H$2-(L40+L41+L42+L43))*D43*$F$4)+(($H$2-(L40+L41+L42+L43+L44))*D44*$F$4)+(($H$2-(L40+L41+L42+L43+L44+L45))*D45*$F$4)+(($H$2-(L40+L41+L42+L43+L44+L45+L46))*D46*$F$4)</f>
        <v>13905</v>
      </c>
      <c r="M47" s="44"/>
      <c r="N47" s="44"/>
      <c r="O47" s="45">
        <f t="shared" si="6"/>
        <v>1350</v>
      </c>
      <c r="P47" s="44"/>
      <c r="Q47" s="61"/>
      <c r="R47" s="61"/>
    </row>
    <row r="48" spans="2:22" x14ac:dyDescent="0.25">
      <c r="C48" s="7"/>
      <c r="D48" s="7"/>
      <c r="E48" s="7"/>
      <c r="F48" s="7"/>
      <c r="G48" s="7"/>
      <c r="H48" s="7"/>
      <c r="I48" s="7"/>
      <c r="J48" s="7"/>
      <c r="K48" s="7"/>
      <c r="L48" s="7"/>
      <c r="M48" s="7"/>
      <c r="N48" s="7"/>
      <c r="O48" s="7"/>
      <c r="P48" s="44"/>
      <c r="V48" s="38"/>
    </row>
    <row r="49" spans="2:24" x14ac:dyDescent="0.25">
      <c r="C49" s="7"/>
      <c r="D49" s="90" t="s">
        <v>59</v>
      </c>
      <c r="E49" s="91"/>
      <c r="F49" s="92"/>
      <c r="G49" s="7"/>
      <c r="H49" s="7"/>
      <c r="I49" s="7"/>
      <c r="J49" s="7"/>
      <c r="K49" s="7"/>
      <c r="L49" s="7"/>
      <c r="M49" s="7"/>
      <c r="N49" s="7"/>
      <c r="O49" s="7"/>
      <c r="P49" s="44"/>
    </row>
    <row r="50" spans="2:24" x14ac:dyDescent="0.25">
      <c r="C50" s="7"/>
      <c r="D50" s="3" t="s">
        <v>34</v>
      </c>
      <c r="E50" s="3" t="s">
        <v>45</v>
      </c>
      <c r="F50" s="3" t="s">
        <v>35</v>
      </c>
      <c r="G50" s="3" t="s">
        <v>36</v>
      </c>
      <c r="H50" s="3" t="s">
        <v>37</v>
      </c>
      <c r="I50" s="3" t="s">
        <v>38</v>
      </c>
      <c r="J50" s="3" t="s">
        <v>39</v>
      </c>
      <c r="K50" s="3" t="s">
        <v>40</v>
      </c>
      <c r="L50" s="3" t="s">
        <v>41</v>
      </c>
      <c r="M50" s="69"/>
      <c r="N50" s="69"/>
      <c r="O50" s="69"/>
      <c r="P50" s="44">
        <v>0</v>
      </c>
      <c r="Q50" s="61"/>
    </row>
    <row r="51" spans="2:24" ht="15" customHeight="1" x14ac:dyDescent="0.25">
      <c r="B51" s="88">
        <v>5</v>
      </c>
      <c r="C51" s="26" t="s">
        <v>24</v>
      </c>
      <c r="D51" s="27">
        <f>$H$3</f>
        <v>1</v>
      </c>
      <c r="E51" s="27">
        <f>$H$3+D51</f>
        <v>2</v>
      </c>
      <c r="F51" s="31">
        <f>MROUND(($H$2*0.34),$H$4)</f>
        <v>510</v>
      </c>
      <c r="G51" s="31">
        <f>MROUND(($H$2*0.22),$H$4)</f>
        <v>330</v>
      </c>
      <c r="H51" s="31">
        <f>MROUND(($H$2*0.17),$H$4)</f>
        <v>255</v>
      </c>
      <c r="I51" s="31">
        <f>MROUND(($H$2*0.13),$H$4)</f>
        <v>195</v>
      </c>
      <c r="J51" s="31">
        <f>MROUND(($H$2*0.11),$H$4)</f>
        <v>165</v>
      </c>
      <c r="K51" s="31">
        <f>MROUND(($H$2*0.1),$H$4)</f>
        <v>150</v>
      </c>
      <c r="L51" s="31">
        <f>MROUND(($H$2*0.1),$H$4)</f>
        <v>150</v>
      </c>
      <c r="M51" s="69"/>
      <c r="N51" s="69"/>
      <c r="O51" s="69"/>
      <c r="P51" s="44">
        <f>L51</f>
        <v>150</v>
      </c>
      <c r="Q51" s="61"/>
    </row>
    <row r="52" spans="2:24" ht="15" customHeight="1" x14ac:dyDescent="0.25">
      <c r="B52" s="88"/>
      <c r="C52" s="26" t="s">
        <v>25</v>
      </c>
      <c r="D52" s="27">
        <f>D51*2</f>
        <v>2</v>
      </c>
      <c r="E52" s="27">
        <f>$H$3+D51+D52</f>
        <v>4</v>
      </c>
      <c r="F52" s="32"/>
      <c r="G52" s="33">
        <f>MROUND(($H$2*0.53),$H$4)-G51</f>
        <v>465</v>
      </c>
      <c r="H52" s="33">
        <f>MROUND(($H$2*0.33),$H$4)-H51</f>
        <v>240</v>
      </c>
      <c r="I52" s="33">
        <f>MROUND(($H$2*0.27),$H$4)-I51</f>
        <v>210</v>
      </c>
      <c r="J52" s="32">
        <f>MROUND(($H$2*0.23),$H$4)-J51</f>
        <v>180</v>
      </c>
      <c r="K52" s="32">
        <f>MROUND(($H$2*0.2),$H$4)-K51</f>
        <v>150</v>
      </c>
      <c r="L52" s="32">
        <f>MROUND(($H$2*0.19),$H$4)-L51</f>
        <v>135</v>
      </c>
      <c r="M52" s="69"/>
      <c r="N52" s="69"/>
      <c r="O52" s="69"/>
      <c r="P52" s="44">
        <f>P51+L52</f>
        <v>285</v>
      </c>
      <c r="Q52" s="61"/>
    </row>
    <row r="53" spans="2:24" ht="15" customHeight="1" x14ac:dyDescent="0.25">
      <c r="B53" s="88"/>
      <c r="C53" s="26" t="s">
        <v>26</v>
      </c>
      <c r="D53" s="27">
        <f>D52*2</f>
        <v>4</v>
      </c>
      <c r="E53" s="27">
        <f>$H$3+D52+D53+D51</f>
        <v>8</v>
      </c>
      <c r="F53" s="31"/>
      <c r="G53" s="31"/>
      <c r="H53" s="31">
        <f>MROUND(($H$2*0.62),$H$4)-(H51+H52)</f>
        <v>435</v>
      </c>
      <c r="I53" s="31">
        <f>MROUND(($H$2*0.44),$H$4)-(I51+I52)</f>
        <v>255</v>
      </c>
      <c r="J53" s="31">
        <f>MROUND(($H$2*0.34),$H$4)-(J51+J52)</f>
        <v>165</v>
      </c>
      <c r="K53" s="31">
        <f>MROUND(($H$2*0.29),$H$4)-(K51+K52)</f>
        <v>135</v>
      </c>
      <c r="L53" s="31">
        <f>MROUND(($H$2*0.28),$H$4)-(L51+L52)</f>
        <v>135</v>
      </c>
      <c r="M53" s="69"/>
      <c r="N53" s="69"/>
      <c r="O53" s="69"/>
      <c r="P53" s="44">
        <f t="shared" ref="P53:P57" si="8">P52+L53</f>
        <v>420</v>
      </c>
      <c r="Q53" s="61"/>
    </row>
    <row r="54" spans="2:24" ht="15" customHeight="1" x14ac:dyDescent="0.25">
      <c r="B54" s="88"/>
      <c r="C54" s="26" t="s">
        <v>27</v>
      </c>
      <c r="D54" s="27">
        <f>D53*2</f>
        <v>8</v>
      </c>
      <c r="E54" s="27">
        <f>$H$3+D53+D54+D52+D51</f>
        <v>16</v>
      </c>
      <c r="F54" s="32"/>
      <c r="G54" s="32"/>
      <c r="H54" s="32"/>
      <c r="I54" s="32">
        <f>MROUND(($H$2*0.74),$H$4)-(I51+I52+I53)</f>
        <v>450</v>
      </c>
      <c r="J54" s="32">
        <f>MROUND(($H$2*0.55),$H$4)-(J51+J52+J53)</f>
        <v>315</v>
      </c>
      <c r="K54" s="32">
        <f>MROUND(($H$2*0.4),$H$4)-(K51+K52+K53)</f>
        <v>165</v>
      </c>
      <c r="L54" s="32">
        <f>MROUND(($H$2*0.37),$H$4)-(L51+L52+L53)</f>
        <v>135</v>
      </c>
      <c r="M54" s="69"/>
      <c r="N54" s="69"/>
      <c r="O54" s="69"/>
      <c r="P54" s="44">
        <f t="shared" si="8"/>
        <v>555</v>
      </c>
      <c r="Q54" s="61"/>
    </row>
    <row r="55" spans="2:24" ht="15" customHeight="1" x14ac:dyDescent="0.25">
      <c r="B55" s="88"/>
      <c r="C55" s="26" t="s">
        <v>28</v>
      </c>
      <c r="D55" s="27">
        <f t="shared" ref="D55:D57" si="9">D54*2</f>
        <v>16</v>
      </c>
      <c r="E55" s="27">
        <f>$H$3+D54+D55+D53+D52+D51</f>
        <v>32</v>
      </c>
      <c r="F55" s="30"/>
      <c r="G55" s="30"/>
      <c r="H55" s="31"/>
      <c r="I55" s="31"/>
      <c r="J55" s="31">
        <f>MROUND(($H$2*0.8),$H$4)-(J51+J52+J53+J54)</f>
        <v>375</v>
      </c>
      <c r="K55" s="31">
        <f>MROUND(($H$2*0.59),$H$4)-(K51+K52+K53+K54)</f>
        <v>285</v>
      </c>
      <c r="L55" s="31">
        <f>MROUND(($H$2*0.53),$H$4)-(L51+L52+L53+L54)</f>
        <v>240</v>
      </c>
      <c r="M55" s="69"/>
      <c r="N55" s="69"/>
      <c r="O55" s="69"/>
      <c r="P55" s="44">
        <f t="shared" si="8"/>
        <v>795</v>
      </c>
      <c r="Q55" s="61"/>
    </row>
    <row r="56" spans="2:24" ht="15" customHeight="1" x14ac:dyDescent="0.25">
      <c r="B56" s="88"/>
      <c r="C56" s="26" t="s">
        <v>29</v>
      </c>
      <c r="D56" s="27">
        <f t="shared" si="9"/>
        <v>32</v>
      </c>
      <c r="E56" s="27">
        <f>$H$3+D55+D56+D54+D53+D52+D51</f>
        <v>64</v>
      </c>
      <c r="F56" s="32"/>
      <c r="G56" s="32"/>
      <c r="H56" s="32"/>
      <c r="I56" s="32"/>
      <c r="J56" s="32"/>
      <c r="K56" s="32">
        <f>MROUND(($H$2*0.8),$H$4)-(K51+K52+K53+K54+K55)</f>
        <v>315</v>
      </c>
      <c r="L56" s="33">
        <f>MROUND(($H$2*0.72),$H$4)-(L51+L52+L53+L54+L55)</f>
        <v>285</v>
      </c>
      <c r="M56" s="69"/>
      <c r="N56" s="69"/>
      <c r="O56" s="69"/>
      <c r="P56" s="44">
        <f>P55+L56</f>
        <v>1080</v>
      </c>
      <c r="Q56" s="61"/>
      <c r="T56" s="39"/>
      <c r="U56" s="56"/>
      <c r="V56" s="56"/>
      <c r="W56" s="23"/>
      <c r="X56" s="23"/>
    </row>
    <row r="57" spans="2:24" ht="15" customHeight="1" x14ac:dyDescent="0.25">
      <c r="B57" s="88"/>
      <c r="C57" s="26" t="s">
        <v>30</v>
      </c>
      <c r="D57" s="27">
        <f t="shared" si="9"/>
        <v>64</v>
      </c>
      <c r="E57" s="27">
        <f>$H$3+D56+D57+D55+D54+D53+D52+D51</f>
        <v>128</v>
      </c>
      <c r="F57" s="30"/>
      <c r="G57" s="30"/>
      <c r="H57" s="30"/>
      <c r="I57" s="30"/>
      <c r="J57" s="30"/>
      <c r="K57" s="30"/>
      <c r="L57" s="31">
        <f>MROUND(($H$2*0.91),$H$4)-(L52+L53+L54+L55+L56+L51)</f>
        <v>285</v>
      </c>
      <c r="M57" s="69"/>
      <c r="N57" s="69"/>
      <c r="O57" s="69"/>
      <c r="P57" s="44">
        <f t="shared" si="8"/>
        <v>1365</v>
      </c>
      <c r="Q57" s="61"/>
      <c r="T57" s="7"/>
      <c r="U57" s="7"/>
      <c r="X57" s="23"/>
    </row>
    <row r="58" spans="2:24" x14ac:dyDescent="0.25">
      <c r="C58" s="7"/>
      <c r="D58" s="7"/>
      <c r="E58" s="29" t="s">
        <v>22</v>
      </c>
      <c r="F58" s="28">
        <f>(($H$2*D51)*$H$3*$F$4)+(($H$2-F51)*D51*$F$4)</f>
        <v>498</v>
      </c>
      <c r="G58" s="28">
        <f>(($H$2*$H$3)*D51*$F$4)+(($H$2-G51)*D51*$F$4)+(($H$2-(G51+G52))*D52*$F$4)</f>
        <v>816</v>
      </c>
      <c r="H58" s="28">
        <f>(($H$2*$H$3)*D51*$F$4)+(($H$2-H51)*D51*$F$4)+(($H$2-(H51+H52))*D52*$F$4)+(($H$2-(H51+H52+H53))*D53*$F$4)</f>
        <v>1407</v>
      </c>
      <c r="I58" s="28">
        <f>(($H$2*$H$3)*D51*$F$4)+(($H$2-I51)*D51*$F$4)+(($H$2-(I51+I52))*D52*$F$4)+(($H$2-(I51+I52+I53))*D53*$F$4)+(($H$2-(I51+I52+I53+I54))*D54*$F$4)</f>
        <v>2295</v>
      </c>
      <c r="J58" s="28">
        <f>(($H$2*$H$3)*D51*$F$4)+(($H$2-J51)*D51*$F$4)+(($H$2-(J51+J52))*D52*$F$4)+(($H$2-(J51+J52+J53))*D53*$F$4)+(($H$2-(J51+J52+J53+J54))*D54*$F$4)+(($H$2-(J51+J52+J53+J54+J55))*D55*$F$4)</f>
        <v>3861</v>
      </c>
      <c r="K58" s="28">
        <f>(($H$2*$H$3)*D51*$F$4)+(($H$2-K51)*D51*$F$4)+(($H$2-(K51+K52))*D52*$F$4)+(($H$2-(K51+K52+K53))*D53*$F$4)+(($H$2-(K51+K52+K53+K54))*D54*$F$4)+(($H$2-(K51+K52+K53+K54+K55))*D55*$F$4)+(($H$2-(K51+K52+K53+K54+K55+K56))*D56*$F$4)</f>
        <v>7230</v>
      </c>
      <c r="L58" s="28">
        <f>(($H$2*$H$3)*D51*$F$4)+(($H$2-L51)*D51*$F$4)+(($H$2-(L51+L52))*D52*$F$4)+(($H$2-(L51+L52+L53))*D53*$F$4)+(($H$2-(L51+L52+L53+L54))*D54*$F$4)+(($H$2-(L51+L52+L53+L54+L55))*D55*$F$4)+(($H$2-(L51+L52+L53+L54+L55+L56))*D56*$F$4)+(($H$2-(L51+L52+L53+L54+L55+L56+L57))*D57*$F$4)</f>
        <v>10104</v>
      </c>
      <c r="M58" s="69"/>
      <c r="N58" s="69"/>
      <c r="O58" s="69"/>
      <c r="P58" s="69"/>
      <c r="Q58" s="61"/>
    </row>
    <row r="59" spans="2:24" x14ac:dyDescent="0.25">
      <c r="C59" s="7"/>
      <c r="D59" s="7"/>
      <c r="E59" s="7"/>
      <c r="F59" s="7"/>
      <c r="G59" s="7"/>
      <c r="H59" s="7"/>
      <c r="I59" s="7"/>
      <c r="J59" s="7"/>
      <c r="K59" s="7"/>
      <c r="L59" s="7"/>
      <c r="M59" s="55"/>
      <c r="N59" s="55"/>
      <c r="O59" s="55"/>
      <c r="P59" s="44"/>
    </row>
    <row r="60" spans="2:24" x14ac:dyDescent="0.25">
      <c r="C60" s="7"/>
      <c r="D60" s="90" t="s">
        <v>51</v>
      </c>
      <c r="E60" s="91"/>
      <c r="F60" s="92"/>
      <c r="G60" s="7"/>
      <c r="H60" s="7"/>
      <c r="I60" s="7"/>
      <c r="J60" s="7"/>
      <c r="K60" s="7"/>
      <c r="L60" s="7"/>
      <c r="M60" s="7"/>
      <c r="N60" s="7"/>
      <c r="O60" s="44"/>
      <c r="P60" s="7"/>
      <c r="Q60" s="61"/>
      <c r="S60" s="39"/>
      <c r="T60" s="40"/>
    </row>
    <row r="61" spans="2:24" x14ac:dyDescent="0.25">
      <c r="C61" s="7"/>
      <c r="D61" s="3" t="s">
        <v>34</v>
      </c>
      <c r="E61" s="3" t="s">
        <v>45</v>
      </c>
      <c r="F61" s="3" t="s">
        <v>35</v>
      </c>
      <c r="G61" s="3" t="s">
        <v>36</v>
      </c>
      <c r="H61" s="3" t="s">
        <v>37</v>
      </c>
      <c r="I61" s="3" t="s">
        <v>38</v>
      </c>
      <c r="J61" s="3" t="s">
        <v>39</v>
      </c>
      <c r="K61" s="3" t="s">
        <v>40</v>
      </c>
      <c r="L61" s="65" t="s">
        <v>41</v>
      </c>
      <c r="M61" s="7"/>
      <c r="N61" s="7"/>
      <c r="O61" s="44">
        <v>0</v>
      </c>
      <c r="P61" s="7"/>
      <c r="Q61" s="61"/>
      <c r="S61" s="39"/>
      <c r="T61" s="40"/>
    </row>
    <row r="62" spans="2:24" ht="15" customHeight="1" x14ac:dyDescent="0.25">
      <c r="B62" s="88">
        <v>6</v>
      </c>
      <c r="C62" s="26" t="s">
        <v>24</v>
      </c>
      <c r="D62" s="27">
        <f>$H$3</f>
        <v>1</v>
      </c>
      <c r="E62" s="27">
        <f>$H$3+D62</f>
        <v>2</v>
      </c>
      <c r="F62" s="31">
        <f>MROUND(($H$2*0.5),$H$4)</f>
        <v>750</v>
      </c>
      <c r="G62" s="31">
        <f>MROUND(($H$2*0.333),$H$4)</f>
        <v>500</v>
      </c>
      <c r="H62" s="31">
        <f>MROUND(($H$2*0.25),$H$4)</f>
        <v>375</v>
      </c>
      <c r="I62" s="31">
        <f>MROUND(($H$2*0.2),$H$4)</f>
        <v>300</v>
      </c>
      <c r="J62" s="31">
        <f>MROUND(($H$2*0.166),$H$4)</f>
        <v>250</v>
      </c>
      <c r="K62" s="31">
        <f>MROUND(($H$2*0.142),$H$4)</f>
        <v>215</v>
      </c>
      <c r="L62" s="31">
        <f>MROUND(($H$2*0.125),$H$4)</f>
        <v>190</v>
      </c>
      <c r="M62" s="7"/>
      <c r="N62" s="7"/>
      <c r="O62" s="45">
        <f>L62</f>
        <v>190</v>
      </c>
      <c r="P62" s="7"/>
      <c r="Q62" s="61"/>
      <c r="S62" s="39"/>
      <c r="T62" s="40"/>
    </row>
    <row r="63" spans="2:24" ht="15" customHeight="1" x14ac:dyDescent="0.25">
      <c r="B63" s="88"/>
      <c r="C63" s="26" t="s">
        <v>25</v>
      </c>
      <c r="D63" s="27">
        <f>D62*2</f>
        <v>2</v>
      </c>
      <c r="E63" s="27">
        <f>$H$3+D62+D63</f>
        <v>4</v>
      </c>
      <c r="F63" s="32"/>
      <c r="G63" s="33">
        <f>MROUND(($H$2*0.666),$H$4)-G62</f>
        <v>500</v>
      </c>
      <c r="H63" s="33">
        <f>MROUND(($H$2*0.5),$H$4)-H62</f>
        <v>375</v>
      </c>
      <c r="I63" s="33">
        <f>MROUND(($H$2*0.4),$H$4)-I62</f>
        <v>300</v>
      </c>
      <c r="J63" s="33">
        <f>MROUND(($H$2*0.333),$H$4)-J62</f>
        <v>250</v>
      </c>
      <c r="K63" s="33">
        <f>MROUND(($H$2*0.285),$H$4)-K62</f>
        <v>210</v>
      </c>
      <c r="L63" s="33">
        <f>MROUND(($H$2*0.25),$H$4)-L62</f>
        <v>185</v>
      </c>
      <c r="M63" s="7"/>
      <c r="N63" s="7"/>
      <c r="O63" s="45">
        <f t="shared" ref="O63:O68" si="10">O62+L63</f>
        <v>375</v>
      </c>
      <c r="P63" s="7"/>
      <c r="Q63" s="61"/>
      <c r="S63" s="39"/>
      <c r="T63" s="40"/>
    </row>
    <row r="64" spans="2:24" ht="15" customHeight="1" x14ac:dyDescent="0.25">
      <c r="B64" s="88"/>
      <c r="C64" s="26" t="s">
        <v>26</v>
      </c>
      <c r="D64" s="27">
        <f>D63*2</f>
        <v>4</v>
      </c>
      <c r="E64" s="27">
        <f>$H$3+D63+D64+D62</f>
        <v>8</v>
      </c>
      <c r="F64" s="30"/>
      <c r="G64" s="31"/>
      <c r="H64" s="31">
        <f>MROUND(($H$2*0.75),$H$4)-(H62+H63)</f>
        <v>375</v>
      </c>
      <c r="I64" s="31">
        <f>MROUND(($H$2*0.6),$H$4)-(I62+I63)</f>
        <v>300</v>
      </c>
      <c r="J64" s="31">
        <f>MROUND(($H$2*0.5),$H$4)-(J62+J63)</f>
        <v>250</v>
      </c>
      <c r="K64" s="31">
        <f>MROUND(($H$2*0.428),$H$4)-(K62+K63)</f>
        <v>215</v>
      </c>
      <c r="L64" s="31">
        <f>MROUND(($H$2*0.375),$H$4)-(L62+L63)</f>
        <v>190</v>
      </c>
      <c r="M64" s="7"/>
      <c r="N64" s="7"/>
      <c r="O64" s="45">
        <f t="shared" si="10"/>
        <v>565</v>
      </c>
      <c r="P64" s="7"/>
      <c r="Q64" s="61"/>
      <c r="S64" s="39"/>
      <c r="T64" s="40"/>
    </row>
    <row r="65" spans="2:25" ht="15" customHeight="1" x14ac:dyDescent="0.25">
      <c r="B65" s="88"/>
      <c r="C65" s="26" t="s">
        <v>27</v>
      </c>
      <c r="D65" s="27">
        <f>D64*2</f>
        <v>8</v>
      </c>
      <c r="E65" s="27">
        <f>$H$3+D64+D65+D63+D62</f>
        <v>16</v>
      </c>
      <c r="F65" s="32"/>
      <c r="G65" s="32"/>
      <c r="H65" s="32"/>
      <c r="I65" s="33">
        <f>MROUND(($H$2*0.8),$H$4)-(I62+I63+I64)</f>
        <v>300</v>
      </c>
      <c r="J65" s="33">
        <f>MROUND(($H$2*0.666),$H$4)-(J62+J63+J64)</f>
        <v>250</v>
      </c>
      <c r="K65" s="33">
        <f>MROUND(($H$2*0.571),$H$4)-(K62+K63+K64)</f>
        <v>215</v>
      </c>
      <c r="L65" s="33">
        <f>MROUND(($H$2*0.5),$H$4)-(L62+L63+L64)</f>
        <v>185</v>
      </c>
      <c r="M65" s="7"/>
      <c r="N65" s="7"/>
      <c r="O65" s="45">
        <f t="shared" si="10"/>
        <v>750</v>
      </c>
      <c r="P65" s="7"/>
      <c r="Q65" s="61"/>
      <c r="S65" s="39"/>
      <c r="T65" s="40"/>
    </row>
    <row r="66" spans="2:25" ht="15" customHeight="1" x14ac:dyDescent="0.25">
      <c r="B66" s="88"/>
      <c r="C66" s="26" t="s">
        <v>28</v>
      </c>
      <c r="D66" s="27">
        <f t="shared" ref="D66:D68" si="11">D65*2</f>
        <v>16</v>
      </c>
      <c r="E66" s="27">
        <f>$H$3+D65+D66+D64+D63+D62</f>
        <v>32</v>
      </c>
      <c r="F66" s="30"/>
      <c r="G66" s="30"/>
      <c r="H66" s="31"/>
      <c r="I66" s="31"/>
      <c r="J66" s="31">
        <f>MROUND(($H$2*0.833),$H$4)-(J62+J63+J64+J65)</f>
        <v>250</v>
      </c>
      <c r="K66" s="31">
        <f>MROUND(($H$2*0.712),$H$4)-(K62+K63+K64+K65)</f>
        <v>215</v>
      </c>
      <c r="L66" s="31">
        <f>MROUND(($H$2*0.625),$H$4)-(L62+L63+L64+L65)</f>
        <v>190</v>
      </c>
      <c r="M66" s="7"/>
      <c r="N66" s="7"/>
      <c r="O66" s="45">
        <f t="shared" si="10"/>
        <v>940</v>
      </c>
      <c r="P66" s="7"/>
      <c r="Q66" s="61"/>
      <c r="S66" s="39"/>
      <c r="T66" s="40"/>
    </row>
    <row r="67" spans="2:25" ht="15" customHeight="1" x14ac:dyDescent="0.25">
      <c r="B67" s="88"/>
      <c r="C67" s="26" t="s">
        <v>29</v>
      </c>
      <c r="D67" s="27">
        <f t="shared" si="11"/>
        <v>32</v>
      </c>
      <c r="E67" s="27">
        <f>$H$3+D66+D67+D65+D64+D63+D62</f>
        <v>64</v>
      </c>
      <c r="F67" s="32"/>
      <c r="G67" s="32"/>
      <c r="H67" s="32"/>
      <c r="I67" s="32"/>
      <c r="J67" s="32"/>
      <c r="K67" s="33">
        <f>MROUND(($H$2*0.857),$H$4)-(K62+K63+K64+K65+K66)</f>
        <v>215</v>
      </c>
      <c r="L67" s="33">
        <f>MROUND(($H$2*0.75),$H$4)-(L62+L63+L64+L65+L66)</f>
        <v>185</v>
      </c>
      <c r="M67" s="7"/>
      <c r="N67" s="7"/>
      <c r="O67" s="45">
        <f t="shared" si="10"/>
        <v>1125</v>
      </c>
      <c r="P67" s="7"/>
      <c r="Q67" s="61"/>
      <c r="S67" s="39"/>
      <c r="T67" s="40"/>
    </row>
    <row r="68" spans="2:25" ht="15" customHeight="1" x14ac:dyDescent="0.25">
      <c r="B68" s="88"/>
      <c r="C68" s="26" t="s">
        <v>30</v>
      </c>
      <c r="D68" s="27">
        <f t="shared" si="11"/>
        <v>64</v>
      </c>
      <c r="E68" s="27">
        <f>$H$3+D67+D68+D66+D65+D64+D63+D62</f>
        <v>128</v>
      </c>
      <c r="F68" s="30"/>
      <c r="G68" s="30"/>
      <c r="H68" s="30"/>
      <c r="I68" s="30"/>
      <c r="J68" s="30"/>
      <c r="K68" s="30"/>
      <c r="L68" s="31">
        <f>MROUND(($H$2*0.875),$H$4)-(L63+L64+L65+L66+L67+L62)</f>
        <v>190</v>
      </c>
      <c r="M68" s="7"/>
      <c r="N68" s="7"/>
      <c r="O68" s="45">
        <f t="shared" si="10"/>
        <v>1315</v>
      </c>
      <c r="P68" s="7"/>
      <c r="Q68" s="61"/>
      <c r="S68" s="39"/>
      <c r="T68" s="40"/>
    </row>
    <row r="69" spans="2:25" x14ac:dyDescent="0.25">
      <c r="C69" s="7"/>
      <c r="D69" s="7"/>
      <c r="E69" s="29" t="s">
        <v>22</v>
      </c>
      <c r="F69" s="28">
        <f>(($H$2*D62)*$H$3*$F$4)+(($H$2-F62)*D62*$F$4)</f>
        <v>450</v>
      </c>
      <c r="G69" s="28">
        <f>(($H$2*$H$3)*D62*$F$4)+(($H$2-G62)*D62*$F$4)+(($H$2-(G62+G63))*D63*$F$4)</f>
        <v>700</v>
      </c>
      <c r="H69" s="28">
        <f>(($H$2*$H$3)*D62*$F$4)+(($H$2-H62)*D62*$F$4)+(($H$2-(H62+H63))*D63*$F$4)+(($H$2-(H62+H63+H64))*D64*$F$4)</f>
        <v>1125</v>
      </c>
      <c r="I69" s="28">
        <f>(($H$2*$H$3)*D62*$F$4)+(($H$2-I62)*D62*$F$4)+(($H$2-(I62+I63))*D63*$F$4)+(($H$2-(I62+I63+I64))*D64*$F$4)+(($H$2-(I62+I63+I64+I65))*D65*$F$4)</f>
        <v>1860</v>
      </c>
      <c r="J69" s="28">
        <f>(($H$2*$H$3)*D62*$F$4)+(($H$2-J62)*D62*$F$4)+(($H$2-(J62+J63))*D63*$F$4)+(($H$2-(J62+J63+J64))*D64*$F$4)+(($H$2-(J62+J63+J64+J65))*D65*$F$4)+(($H$2-(J62+J63+J64+J65+J66))*D66*$F$4)</f>
        <v>3150</v>
      </c>
      <c r="K69" s="28">
        <f>(($H$2*$H$3)*D62*$F$4)+(($H$2-K62)*D62*$F$4)+(($H$2-(K62+K63))*D63*$F$4)+(($H$2-(K62+K63+K64))*D64*$F$4)+(($H$2-(K62+K63+K64+K65))*D65*$F$4)+(($H$2-(K62+K63+K64+K65+K66))*D66*$F$4)+(($H$2-(K62+K63+K64+K65+K66+K67))*D67*$F$4)</f>
        <v>5459</v>
      </c>
      <c r="L69" s="28">
        <f>(($H$2*$H$3)*D62*$F$4)+(($H$2-L62)*D62*$F$4)+(($H$2-(L62+L63))*D63*$F$4)+(($H$2-(L62+L63+L64))*D64*$F$4)+(($H$2-(L62+L63+L64+L65))*D65*$F$4)+(($H$2-(L62+L63+L64+L65+L66))*D66*$F$4)+(($H$2-(L62+L63+L64+L65+L66+L67))*D67*$F$4)+(($H$2-(L62+L63+L64+L65+L66+L67+L68))*D68*$F$4)</f>
        <v>9520</v>
      </c>
      <c r="M69" s="7"/>
      <c r="N69" s="7"/>
      <c r="O69" s="67"/>
      <c r="P69" s="67"/>
      <c r="Q69" s="67"/>
      <c r="S69" s="39"/>
      <c r="T69" s="40"/>
    </row>
    <row r="70" spans="2:25" x14ac:dyDescent="0.25">
      <c r="C70" s="7"/>
      <c r="D70" s="7"/>
      <c r="E70" s="7"/>
      <c r="F70" s="7"/>
      <c r="G70" s="7"/>
      <c r="H70" s="7"/>
      <c r="I70" s="7"/>
      <c r="J70" s="7"/>
      <c r="K70" s="7"/>
      <c r="L70" s="7"/>
      <c r="M70" s="7"/>
      <c r="N70" s="7"/>
      <c r="O70" s="69"/>
      <c r="P70" s="38"/>
      <c r="S70" s="39"/>
      <c r="T70" s="40"/>
    </row>
    <row r="71" spans="2:25" x14ac:dyDescent="0.25">
      <c r="C71" s="7"/>
      <c r="D71" s="90" t="s">
        <v>53</v>
      </c>
      <c r="E71" s="91"/>
      <c r="F71" s="92"/>
      <c r="G71" s="7"/>
      <c r="H71" s="7"/>
      <c r="I71" s="7"/>
      <c r="J71" s="7"/>
      <c r="K71" s="7"/>
      <c r="L71" s="7"/>
      <c r="M71" s="44"/>
      <c r="N71" s="44"/>
      <c r="O71" s="44"/>
      <c r="P71" s="63">
        <f>MROUND(($H$2*0.04),$H$4)</f>
        <v>60</v>
      </c>
      <c r="R71" s="61"/>
      <c r="S71" s="70"/>
      <c r="T71" s="71"/>
      <c r="U71" s="61"/>
      <c r="V71" s="69"/>
    </row>
    <row r="72" spans="2:25" x14ac:dyDescent="0.25">
      <c r="C72" s="7"/>
      <c r="D72" s="3" t="s">
        <v>34</v>
      </c>
      <c r="E72" s="3" t="s">
        <v>45</v>
      </c>
      <c r="F72" s="3" t="s">
        <v>35</v>
      </c>
      <c r="G72" s="3" t="s">
        <v>36</v>
      </c>
      <c r="H72" s="3" t="s">
        <v>37</v>
      </c>
      <c r="I72" s="3" t="s">
        <v>38</v>
      </c>
      <c r="J72" s="3" t="s">
        <v>39</v>
      </c>
      <c r="K72" s="3" t="s">
        <v>40</v>
      </c>
      <c r="L72" s="3" t="s">
        <v>41</v>
      </c>
      <c r="M72" s="44"/>
      <c r="N72" s="44"/>
      <c r="O72" s="44"/>
      <c r="P72" s="64">
        <f>MROUND(($H$2*0.1),$H$4)</f>
        <v>150</v>
      </c>
      <c r="R72" s="61"/>
      <c r="S72" s="70"/>
      <c r="T72" s="71"/>
      <c r="U72" s="61"/>
      <c r="V72" s="69"/>
    </row>
    <row r="73" spans="2:25" ht="15" customHeight="1" x14ac:dyDescent="0.25">
      <c r="B73" s="88">
        <v>7</v>
      </c>
      <c r="C73" s="26" t="s">
        <v>24</v>
      </c>
      <c r="D73" s="27">
        <f>$H$3</f>
        <v>1</v>
      </c>
      <c r="E73" s="27">
        <f>$H$3+D73</f>
        <v>2</v>
      </c>
      <c r="F73" s="31">
        <f>MROUND(($H$2*0.48),$H$4)</f>
        <v>720</v>
      </c>
      <c r="G73" s="31">
        <f>MROUND(($H$2*0.2),$H$4)</f>
        <v>300</v>
      </c>
      <c r="H73" s="31">
        <f>MROUND(($H$2*0.13),$H$4)</f>
        <v>195</v>
      </c>
      <c r="I73" s="31">
        <f>MROUND(($H$2*0.1),$H$4)</f>
        <v>150</v>
      </c>
      <c r="J73" s="31">
        <f>MROUND(($H$2*0.07),$H$4)</f>
        <v>105</v>
      </c>
      <c r="K73" s="31">
        <f>MROUND(($H$2*0.07),$H$4)</f>
        <v>105</v>
      </c>
      <c r="L73" s="31">
        <f>MROUND(($H$2*0.06),$H$4)</f>
        <v>90</v>
      </c>
      <c r="M73" s="44"/>
      <c r="N73" s="44"/>
      <c r="O73" s="44"/>
      <c r="P73" s="63">
        <f>MROUND(($H$2*0.17),$H$4)</f>
        <v>255</v>
      </c>
      <c r="R73" s="61"/>
      <c r="S73" s="70"/>
      <c r="T73" s="71"/>
      <c r="U73" s="61"/>
      <c r="V73" s="69"/>
    </row>
    <row r="74" spans="2:25" ht="15" customHeight="1" x14ac:dyDescent="0.25">
      <c r="B74" s="88"/>
      <c r="C74" s="26" t="s">
        <v>25</v>
      </c>
      <c r="D74" s="27">
        <f>D73*2</f>
        <v>2</v>
      </c>
      <c r="E74" s="27">
        <f>$H$3+D73+D74</f>
        <v>4</v>
      </c>
      <c r="F74" s="32"/>
      <c r="G74" s="33">
        <f>MROUND(($H$2*0.81),$H$4)-G73</f>
        <v>915</v>
      </c>
      <c r="H74" s="33">
        <f>MROUND(($H$2*0.47),$H$4)-H73</f>
        <v>510</v>
      </c>
      <c r="I74" s="33">
        <f>MROUND(($H$2*0.32),$H$4)-I73</f>
        <v>330</v>
      </c>
      <c r="J74" s="33">
        <f>MROUND(($H$2*0.22),$H$4)-J73</f>
        <v>225</v>
      </c>
      <c r="K74" s="33">
        <f>MROUND(($H$2*0.17),$H$4)-K73</f>
        <v>150</v>
      </c>
      <c r="L74" s="33">
        <f>MROUND(($H$2*0.14),$H$4)-L73</f>
        <v>120</v>
      </c>
      <c r="M74" s="44"/>
      <c r="N74" s="44"/>
      <c r="O74" s="44"/>
      <c r="P74" s="64">
        <f>MROUND(($H$2*0.3),$H$4)</f>
        <v>450</v>
      </c>
      <c r="R74" s="61"/>
      <c r="S74" s="70"/>
      <c r="T74" s="71"/>
      <c r="U74" s="61"/>
      <c r="V74" s="69"/>
    </row>
    <row r="75" spans="2:25" ht="15" customHeight="1" x14ac:dyDescent="0.25">
      <c r="B75" s="88"/>
      <c r="C75" s="26" t="s">
        <v>26</v>
      </c>
      <c r="D75" s="27">
        <f>D74*2</f>
        <v>4</v>
      </c>
      <c r="E75" s="27">
        <f>$H$3+D74+D75+D73</f>
        <v>8</v>
      </c>
      <c r="F75" s="30"/>
      <c r="G75" s="30"/>
      <c r="H75" s="31">
        <f>MROUND(($H$2*0.87),$H$4)-(H73+H74)</f>
        <v>600</v>
      </c>
      <c r="I75" s="31">
        <f>MROUND(($H$2*0.73),$H$4)-(I73+I74)</f>
        <v>615</v>
      </c>
      <c r="J75" s="31">
        <f>MROUND(($H$2*0.53),$H$4)-(J73+J74)</f>
        <v>465</v>
      </c>
      <c r="K75" s="31">
        <f>MROUND(($H$2*0.37),$H$4)-(K73+K74)</f>
        <v>300</v>
      </c>
      <c r="L75" s="31">
        <f>MROUND(($H$2*0.28),$H$4)-(L73+L74)</f>
        <v>210</v>
      </c>
      <c r="M75" s="44"/>
      <c r="N75" s="44"/>
      <c r="O75" s="44"/>
      <c r="P75" s="63">
        <f>MROUND(($H$2*0.47),$H$4)</f>
        <v>705</v>
      </c>
      <c r="R75" s="61"/>
      <c r="S75" s="70"/>
      <c r="T75" s="71"/>
      <c r="U75" s="61"/>
      <c r="V75" s="69"/>
    </row>
    <row r="76" spans="2:25" ht="15" customHeight="1" x14ac:dyDescent="0.25">
      <c r="B76" s="88"/>
      <c r="C76" s="26" t="s">
        <v>27</v>
      </c>
      <c r="D76" s="27">
        <f>D75*2</f>
        <v>8</v>
      </c>
      <c r="E76" s="27">
        <f>$H$3+D75+D76+D74+D73</f>
        <v>16</v>
      </c>
      <c r="F76" s="32"/>
      <c r="G76" s="32"/>
      <c r="H76" s="32"/>
      <c r="I76" s="33">
        <f>MROUND(($H$2*0.91),$H$4)-(I73+I74+I75)</f>
        <v>270</v>
      </c>
      <c r="J76" s="33">
        <f>MROUND(($H$2*0.82),$H$4)-(J73+J74+J75)</f>
        <v>435</v>
      </c>
      <c r="K76" s="33">
        <f>MROUND(($H$2*0.67),$H$4)-(K73+K74+K75)</f>
        <v>450</v>
      </c>
      <c r="L76" s="33">
        <f>MROUND(($H$2*0.54),$H$4)-(L73+L74+L75)</f>
        <v>390</v>
      </c>
      <c r="M76" s="44"/>
      <c r="N76" s="44"/>
      <c r="O76" s="44"/>
      <c r="P76" s="64">
        <f>MROUND(($H$2*0.68),$H$4)</f>
        <v>1020</v>
      </c>
      <c r="R76" s="61"/>
      <c r="S76" s="70"/>
      <c r="T76" s="71"/>
      <c r="U76" s="61"/>
      <c r="V76" s="69"/>
    </row>
    <row r="77" spans="2:25" ht="15" customHeight="1" x14ac:dyDescent="0.25">
      <c r="B77" s="88"/>
      <c r="C77" s="26" t="s">
        <v>28</v>
      </c>
      <c r="D77" s="27">
        <f t="shared" ref="D77:D79" si="12">D76*2</f>
        <v>16</v>
      </c>
      <c r="E77" s="27">
        <f>$H$3+D76+D77+D75+D74+D73</f>
        <v>32</v>
      </c>
      <c r="F77" s="31"/>
      <c r="G77" s="31"/>
      <c r="H77" s="31"/>
      <c r="I77" s="31"/>
      <c r="J77" s="31">
        <f>MROUND(($H$2*0.93),$H$4)-(J73+J74+J75+J76)</f>
        <v>165</v>
      </c>
      <c r="K77" s="31">
        <f>MROUND(($H$2*0.86),$H$4)-(K73+K74+K75+K76)</f>
        <v>285</v>
      </c>
      <c r="L77" s="31">
        <f>MROUND(($H$2*0.79),$H$4)-(L73+L74+L75+L76)</f>
        <v>375</v>
      </c>
      <c r="M77" s="44"/>
      <c r="N77" s="44"/>
      <c r="O77" s="44"/>
      <c r="P77" s="63">
        <f>MROUND(($H$2*0.81),$H$4)</f>
        <v>1215</v>
      </c>
      <c r="R77" s="61"/>
      <c r="S77" s="70"/>
      <c r="T77" s="71"/>
      <c r="U77" s="61"/>
      <c r="V77" s="69"/>
    </row>
    <row r="78" spans="2:25" ht="15" customHeight="1" x14ac:dyDescent="0.25">
      <c r="B78" s="88"/>
      <c r="C78" s="26" t="s">
        <v>29</v>
      </c>
      <c r="D78" s="27">
        <f t="shared" si="12"/>
        <v>32</v>
      </c>
      <c r="E78" s="27">
        <f>$H$3+D77+D78+D76+D75+D74+D73</f>
        <v>64</v>
      </c>
      <c r="F78" s="32"/>
      <c r="G78" s="32"/>
      <c r="H78" s="32"/>
      <c r="I78" s="32"/>
      <c r="J78" s="32"/>
      <c r="K78" s="33">
        <f>MROUND(($H$2*0.93),$H$4)-(K73+K74+K75+K76+K77)</f>
        <v>105</v>
      </c>
      <c r="L78" s="33">
        <f>MROUND(($H$2*0.9),$H$4)-(L73+L74+L75+L76+L77)</f>
        <v>165</v>
      </c>
      <c r="M78" s="44"/>
      <c r="N78" s="44"/>
      <c r="O78" s="44"/>
      <c r="P78" s="63">
        <f>MROUND(($H$2*0.89),$H$4)</f>
        <v>1335</v>
      </c>
      <c r="R78" s="61"/>
      <c r="S78" s="70"/>
      <c r="T78" s="71"/>
      <c r="U78" s="61"/>
      <c r="V78" s="69"/>
    </row>
    <row r="79" spans="2:25" ht="15" customHeight="1" x14ac:dyDescent="0.25">
      <c r="B79" s="88"/>
      <c r="C79" s="26" t="s">
        <v>30</v>
      </c>
      <c r="D79" s="27">
        <f t="shared" si="12"/>
        <v>64</v>
      </c>
      <c r="E79" s="27">
        <f>$H$3+D78+D79+D77+D76+D75+D74+D73</f>
        <v>128</v>
      </c>
      <c r="F79" s="30"/>
      <c r="G79" s="30"/>
      <c r="H79" s="30"/>
      <c r="I79" s="30"/>
      <c r="J79" s="30"/>
      <c r="K79" s="30"/>
      <c r="L79" s="31">
        <f>MROUND(($H$2*0.95),$H$4)-(L74+L75+L76+L77+L78+L73)</f>
        <v>75</v>
      </c>
      <c r="M79" s="44"/>
      <c r="N79" s="44"/>
      <c r="O79" s="44"/>
      <c r="P79" s="63">
        <f>MROUND(($H$2*0.94),$H$4)</f>
        <v>1410</v>
      </c>
      <c r="R79" s="61"/>
      <c r="S79" s="70"/>
      <c r="T79" s="71"/>
      <c r="U79" s="61"/>
      <c r="V79" s="69"/>
    </row>
    <row r="80" spans="2:25" x14ac:dyDescent="0.25">
      <c r="C80" s="7"/>
      <c r="D80" s="7"/>
      <c r="E80" s="29" t="s">
        <v>22</v>
      </c>
      <c r="F80" s="28">
        <f>(($H$2*D73)*$H$3*$F$4)+(($H$2-F73)*D73*$F$4)</f>
        <v>456</v>
      </c>
      <c r="G80" s="28">
        <f>(($H$2*$H$3)*D73*$F$4)+(($H$2-G73)*D73*$F$4)+(($H$2-(G73+G74))*D74*$F$4)</f>
        <v>654</v>
      </c>
      <c r="H80" s="28">
        <f>(($H$2*$H$3)*D73*$F$4)+(($H$2-H73)*D73*$F$4)+(($H$2-(H73+H74))*D74*$F$4)+(($H$2-(H73+H74+H75))*D75*$F$4)</f>
        <v>1035</v>
      </c>
      <c r="I80" s="28">
        <f>(($H$2*$H$3)*D73*$F$4)+(($H$2-I73)*D73*$F$4)+(($H$2-(I73+I74))*D74*$F$4)+(($H$2-(I73+I74+I75))*D75*$F$4)+(($H$2-(I73+I74+I75+I76))*D76*$F$4)</f>
        <v>1518</v>
      </c>
      <c r="J80" s="28">
        <f>(($H$2*$H$3)*D73*$F$4)+(($H$2-J73)*D73*$F$4)+(($H$2-(J73+J74))*D74*$F$4)+(($H$2-(J73+J74+J75))*D75*$F$4)+(($H$2-(J73+J74+J75+J76))*D76*$F$4)+(($H$2-(J73+J74+J75+J76+J77))*D77*$F$4)</f>
        <v>2379</v>
      </c>
      <c r="K80" s="28">
        <f>(($H$2*$H$3)*D73*$F$4)+(($H$2-K73)*D73*$F$4)+(($H$2-(K73+K74))*D74*$F$4)+(($H$2-(K73+K74+K75))*D75*$F$4)+(($H$2-(K73+K74+K75+K76))*D76*$F$4)+(($H$2-(K73+K74+K75+K76+K77))*D77*$F$4)+(($H$2-(K73+K74+K75+K76+K77+K78))*D78*$F$4)</f>
        <v>3969</v>
      </c>
      <c r="L80" s="28">
        <f>(($H$2*$H$3)*D73*$F$4)+(($H$2-L73)*D73*$F$4)+(($H$2-(L73+L74))*D74*$F$4)+(($H$2-(L73+L74+L75))*D75*$F$4)+(($H$2-(L73+L74+L75+L76))*D76*$F$4)+(($H$2-(L73+L74+L75+L76+L77))*D77*$F$4)+(($H$2-(L73+L74+L75+L76+L77+L78))*D78*$F$4)+(($H$2-(L73+L74+L75+L76+L77+L78+L79))*D79*$F$4)</f>
        <v>5994</v>
      </c>
      <c r="M80" s="69"/>
      <c r="N80" s="69"/>
      <c r="O80" s="69"/>
      <c r="P80" s="63">
        <f>MROUND(($H$2*0.97),$H$4)</f>
        <v>1455</v>
      </c>
      <c r="R80" s="61"/>
      <c r="S80" s="70"/>
      <c r="T80" s="71"/>
      <c r="U80" s="61"/>
      <c r="V80" s="69"/>
      <c r="Y80" s="69"/>
    </row>
    <row r="81" spans="2:25" x14ac:dyDescent="0.25">
      <c r="C81" s="69"/>
      <c r="D81" s="69"/>
      <c r="E81" s="69"/>
      <c r="F81" s="69"/>
      <c r="G81" s="69"/>
      <c r="H81" s="69"/>
      <c r="I81" s="69"/>
      <c r="J81" s="69"/>
      <c r="K81" s="69"/>
      <c r="L81" s="69"/>
      <c r="M81" s="69"/>
      <c r="N81" s="69"/>
      <c r="O81" s="69"/>
      <c r="P81" s="69"/>
      <c r="R81" s="73"/>
      <c r="S81" s="70"/>
      <c r="T81" s="71"/>
      <c r="U81" s="61"/>
      <c r="V81" s="69"/>
      <c r="W81" s="69"/>
      <c r="X81" s="69"/>
      <c r="Y81" s="69"/>
    </row>
    <row r="82" spans="2:25" x14ac:dyDescent="0.25">
      <c r="C82" s="7"/>
      <c r="D82" s="90" t="s">
        <v>54</v>
      </c>
      <c r="E82" s="91"/>
      <c r="F82" s="92"/>
      <c r="G82" s="7"/>
      <c r="H82" s="7"/>
      <c r="I82" s="7"/>
      <c r="J82" s="7"/>
      <c r="K82" s="7"/>
      <c r="L82" s="7"/>
      <c r="M82" s="7"/>
      <c r="N82" s="7"/>
      <c r="O82" s="69"/>
      <c r="P82" s="69"/>
      <c r="R82" s="73"/>
      <c r="S82" s="39"/>
      <c r="T82" s="40"/>
    </row>
    <row r="83" spans="2:25" x14ac:dyDescent="0.25">
      <c r="C83" s="7"/>
      <c r="D83" s="3" t="s">
        <v>34</v>
      </c>
      <c r="E83" s="3" t="s">
        <v>45</v>
      </c>
      <c r="F83" s="3" t="s">
        <v>35</v>
      </c>
      <c r="G83" s="3" t="s">
        <v>36</v>
      </c>
      <c r="H83" s="3" t="s">
        <v>37</v>
      </c>
      <c r="I83" s="3" t="s">
        <v>38</v>
      </c>
      <c r="J83" s="3" t="s">
        <v>39</v>
      </c>
      <c r="K83" s="3" t="s">
        <v>40</v>
      </c>
      <c r="L83" s="3" t="s">
        <v>41</v>
      </c>
      <c r="M83" s="7"/>
      <c r="N83" s="7"/>
      <c r="O83" s="69"/>
      <c r="P83" s="67">
        <v>0</v>
      </c>
      <c r="R83" s="73"/>
      <c r="S83" s="39"/>
      <c r="T83" s="40"/>
    </row>
    <row r="84" spans="2:25" ht="15" customHeight="1" x14ac:dyDescent="0.25">
      <c r="B84" s="88">
        <v>8</v>
      </c>
      <c r="C84" s="26" t="s">
        <v>24</v>
      </c>
      <c r="D84" s="27">
        <f>$H$3</f>
        <v>1</v>
      </c>
      <c r="E84" s="27">
        <f>$H$3+D84</f>
        <v>2</v>
      </c>
      <c r="F84" s="31">
        <f>MROUND(($H$2*0.48),$H$4)</f>
        <v>720</v>
      </c>
      <c r="G84" s="31">
        <f>MROUND(($H$2*0.4),$H$4)</f>
        <v>600</v>
      </c>
      <c r="H84" s="31">
        <f>MROUND(($H$2*0.33),$H$4)</f>
        <v>495</v>
      </c>
      <c r="I84" s="31">
        <f>MROUND(($H$2*0.3),$H$4)</f>
        <v>450</v>
      </c>
      <c r="J84" s="31">
        <f>MROUND(($H$2*0.27),$H$4)</f>
        <v>405</v>
      </c>
      <c r="K84" s="31">
        <f>MROUND(($H$2*0.26),$H$4)</f>
        <v>390</v>
      </c>
      <c r="L84" s="31">
        <f>MROUND(($H$2*0.23),$H$4)</f>
        <v>345</v>
      </c>
      <c r="M84" s="7"/>
      <c r="N84" s="7"/>
      <c r="O84" s="69"/>
      <c r="P84" s="63">
        <f>MROUND(($H$2*0.23),$H$4)</f>
        <v>345</v>
      </c>
      <c r="R84" s="73"/>
      <c r="S84" s="39"/>
      <c r="T84" s="40"/>
    </row>
    <row r="85" spans="2:25" ht="15" customHeight="1" x14ac:dyDescent="0.25">
      <c r="B85" s="88"/>
      <c r="C85" s="26" t="s">
        <v>25</v>
      </c>
      <c r="D85" s="27">
        <f>D84*2</f>
        <v>2</v>
      </c>
      <c r="E85" s="27">
        <f>$H$3+D84+D85</f>
        <v>4</v>
      </c>
      <c r="F85" s="32"/>
      <c r="G85" s="33">
        <f>MROUND(($H$2*0.6),$H$4)-G84</f>
        <v>300</v>
      </c>
      <c r="H85" s="33">
        <f>MROUND(($H$2*0.48),$H$4)-H84</f>
        <v>225</v>
      </c>
      <c r="I85" s="33">
        <f>MROUND(($H$2*0.43),$H$4)-I84</f>
        <v>195</v>
      </c>
      <c r="J85" s="33">
        <f>MROUND(($H$2*0.4),$H$4)-J84</f>
        <v>195</v>
      </c>
      <c r="K85" s="33">
        <f>MROUND(($H$2*0.39),$H$4)-K84</f>
        <v>195</v>
      </c>
      <c r="L85" s="33">
        <f>MROUND(($H$2*0.35),$H$4)-L84</f>
        <v>180</v>
      </c>
      <c r="M85" s="7"/>
      <c r="N85" s="7"/>
      <c r="O85" s="69"/>
      <c r="P85" s="64">
        <f>MROUND(($H$2*0.35),$H$4)</f>
        <v>525</v>
      </c>
      <c r="R85" s="73"/>
      <c r="S85" s="39"/>
      <c r="T85" s="40"/>
    </row>
    <row r="86" spans="2:25" ht="15" customHeight="1" x14ac:dyDescent="0.25">
      <c r="B86" s="88"/>
      <c r="C86" s="26" t="s">
        <v>26</v>
      </c>
      <c r="D86" s="27">
        <f>D85*2</f>
        <v>4</v>
      </c>
      <c r="E86" s="27">
        <f>$H$3+D85+D86+D84</f>
        <v>8</v>
      </c>
      <c r="F86" s="30"/>
      <c r="G86" s="30"/>
      <c r="H86" s="31">
        <f>MROUND(($H$2*0.67),$H$4)-(H84+H85)</f>
        <v>285</v>
      </c>
      <c r="I86" s="31">
        <f>MROUND(($H$2*0.55),$H$4)-(I84+I85)</f>
        <v>180</v>
      </c>
      <c r="J86" s="31">
        <f>MROUND(($H$2*0.49),$H$4)-(J84+J85)</f>
        <v>135</v>
      </c>
      <c r="K86" s="31">
        <f>MROUND(($H$2*0.46),$H$4)-(K84+K85)</f>
        <v>105</v>
      </c>
      <c r="L86" s="31">
        <f>MROUND(($H$2*0.43),$H$4)-(L84+L85)</f>
        <v>120</v>
      </c>
      <c r="M86" s="7"/>
      <c r="N86" s="7"/>
      <c r="O86" s="69"/>
      <c r="P86" s="63">
        <f>MROUND(($H$2*0.42),$H$4)</f>
        <v>630</v>
      </c>
      <c r="R86" s="73"/>
      <c r="S86" s="39"/>
      <c r="T86" s="40"/>
    </row>
    <row r="87" spans="2:25" ht="15" customHeight="1" x14ac:dyDescent="0.25">
      <c r="B87" s="88"/>
      <c r="C87" s="26" t="s">
        <v>27</v>
      </c>
      <c r="D87" s="27">
        <f>D86*2</f>
        <v>8</v>
      </c>
      <c r="E87" s="27">
        <f>$H$3+D86+D87+D85+D84</f>
        <v>16</v>
      </c>
      <c r="F87" s="32"/>
      <c r="G87" s="32"/>
      <c r="H87" s="32"/>
      <c r="I87" s="33">
        <f>MROUND(($H$2*0.74),$H$4)-(I84+I85+I86)</f>
        <v>285</v>
      </c>
      <c r="J87" s="33">
        <f>MROUND(($H$2*0.61),$H$4)-(J84+J85+J86)</f>
        <v>180</v>
      </c>
      <c r="K87" s="33">
        <f>MROUND(($H$2*0.53),$H$4)-(K84+K85+K86)</f>
        <v>105</v>
      </c>
      <c r="L87" s="33">
        <f>MROUND(($H$2*0.49),$H$4)-(L84+L85+L86)</f>
        <v>90</v>
      </c>
      <c r="M87" s="7"/>
      <c r="N87" s="7"/>
      <c r="O87" s="69"/>
      <c r="P87" s="64">
        <f>MROUND(($H$2*0.48),$H$4)</f>
        <v>720</v>
      </c>
      <c r="R87" s="73"/>
      <c r="S87" s="39"/>
      <c r="T87" s="40"/>
    </row>
    <row r="88" spans="2:25" ht="15" customHeight="1" x14ac:dyDescent="0.25">
      <c r="B88" s="88"/>
      <c r="C88" s="26" t="s">
        <v>28</v>
      </c>
      <c r="D88" s="27">
        <f t="shared" ref="D88:D90" si="13">D87*2</f>
        <v>16</v>
      </c>
      <c r="E88" s="27">
        <f>$H$3+D87+D88+D86+D85+D84</f>
        <v>32</v>
      </c>
      <c r="F88" s="30"/>
      <c r="G88" s="31"/>
      <c r="H88" s="31"/>
      <c r="I88" s="31"/>
      <c r="J88" s="31">
        <f>MROUND(($H$2*0.8),$H$4)-(J84+J85+J86+J87)</f>
        <v>285</v>
      </c>
      <c r="K88" s="31">
        <f>MROUND(($H$2*0.66),$H$4)-(K84+K85+K86+K87)</f>
        <v>195</v>
      </c>
      <c r="L88" s="31">
        <f>MROUND(($H$2*0.59),$H$4)-(L84+L85+L86+L87)</f>
        <v>150</v>
      </c>
      <c r="M88" s="7"/>
      <c r="N88" s="7"/>
      <c r="O88" s="69"/>
      <c r="P88" s="63">
        <f>MROUND(($H$2*0.55),$H$4)</f>
        <v>825</v>
      </c>
      <c r="R88" s="73"/>
      <c r="S88" s="39"/>
      <c r="T88" s="40"/>
    </row>
    <row r="89" spans="2:25" ht="15" customHeight="1" x14ac:dyDescent="0.25">
      <c r="B89" s="88"/>
      <c r="C89" s="26" t="s">
        <v>29</v>
      </c>
      <c r="D89" s="27">
        <f t="shared" si="13"/>
        <v>32</v>
      </c>
      <c r="E89" s="27">
        <f>$H$3+D88+D89+D87+D86+D85+D84</f>
        <v>64</v>
      </c>
      <c r="F89" s="32"/>
      <c r="G89" s="32"/>
      <c r="H89" s="32"/>
      <c r="I89" s="32"/>
      <c r="J89" s="32"/>
      <c r="K89" s="33">
        <f>MROUND(($H$2*0.83),$H$4)-(K84+K85+K86+K87+K88)</f>
        <v>255</v>
      </c>
      <c r="L89" s="33">
        <f>MROUND(($H$2*0.7),$H$4)-(L84+L85+L86+L87+L88)</f>
        <v>165</v>
      </c>
      <c r="M89" s="7"/>
      <c r="N89" s="7"/>
      <c r="O89" s="69"/>
      <c r="P89" s="64">
        <f>MROUND(($H$2*0.63),$H$4)</f>
        <v>945</v>
      </c>
      <c r="R89" s="73"/>
      <c r="S89" s="39"/>
      <c r="T89" s="40"/>
    </row>
    <row r="90" spans="2:25" ht="15" customHeight="1" x14ac:dyDescent="0.25">
      <c r="B90" s="88"/>
      <c r="C90" s="26" t="s">
        <v>30</v>
      </c>
      <c r="D90" s="27">
        <f t="shared" si="13"/>
        <v>64</v>
      </c>
      <c r="E90" s="27">
        <f>$H$3+D89+D90+D88+D87+D86+D85+D84</f>
        <v>128</v>
      </c>
      <c r="F90" s="30"/>
      <c r="G90" s="30"/>
      <c r="H90" s="30"/>
      <c r="I90" s="30"/>
      <c r="J90" s="30"/>
      <c r="K90" s="30"/>
      <c r="L90" s="31">
        <f>MROUND(($H$2*0.87),$H$4)-(L85+L86+L87+L88+L89+L84)</f>
        <v>255</v>
      </c>
      <c r="M90" s="7"/>
      <c r="N90" s="7"/>
      <c r="O90" s="69"/>
      <c r="P90" s="63">
        <f>MROUND(($H$2*0.77),$H$4)</f>
        <v>1155</v>
      </c>
      <c r="R90" s="73"/>
      <c r="S90" s="39"/>
      <c r="T90" s="40"/>
    </row>
    <row r="91" spans="2:25" x14ac:dyDescent="0.25">
      <c r="C91" s="7"/>
      <c r="D91" s="7"/>
      <c r="E91" s="29" t="s">
        <v>22</v>
      </c>
      <c r="F91" s="28">
        <f>(($H$2*D84)*$H$3*$F$4)+(($H$2-F84)*D84*$F$4)</f>
        <v>456</v>
      </c>
      <c r="G91" s="28">
        <f>(($H$2*$H$3)*D84*$F$4)+(($H$2-G84)*D84*$F$4)+(($H$2-(G84+G85))*D85*$F$4)</f>
        <v>720</v>
      </c>
      <c r="H91" s="28">
        <f>(($H$2*$H$3)*D84*$F$4)+(($H$2-H84)*D84*$F$4)+(($H$2-(H84+H85))*D85*$F$4)+(($H$2-(H84+H85+H86))*D86*$F$4)</f>
        <v>1209</v>
      </c>
      <c r="I91" s="28">
        <f>(($H$2*$H$3)*D84*$F$4)+(($H$2-I84)*D84*$F$4)+(($H$2-(I84+I85))*D85*$F$4)+(($H$2-(I84+I85+I86))*D86*$F$4)+(($H$2-(I84+I85+I86+I87))*D87*$F$4)</f>
        <v>2016</v>
      </c>
      <c r="J91" s="28">
        <f>(($H$2*$H$3)*D84*$F$4)+(($H$2-J84)*D84*$F$4)+(($H$2-(J84+J85))*D85*$F$4)+(($H$2-(J84+J85+J86))*D86*$F$4)+(($H$2-(J84+J85+J86+J87))*D87*$F$4)+(($H$2-(J84+J85+J86+J87+J88))*D88*$F$4)</f>
        <v>3387</v>
      </c>
      <c r="K91" s="28">
        <f>(($H$2*$H$3)*D84*$F$4)+(($H$2-K84)*D84*$F$4)+(($H$2-(K84+K85))*D85*$F$4)+(($H$2-(K84+K85+K86))*D86*$F$4)+(($H$2-(K84+K85+K86+K87))*D87*$F$4)+(($H$2-(K84+K85+K86+K87+K88))*D88*$F$4)+(($H$2-(K84+K85+K86+K87+K88+K89))*D89*$F$4)</f>
        <v>5928</v>
      </c>
      <c r="L91" s="28">
        <f>(($H$2*$H$3)*D84*$F$4)+(($H$2-L84)*D84*$F$4)+(($H$2-(L84+L85))*D85*$F$4)+(($H$2-(L84+L85+L86))*D86*$F$4)+(($H$2-(L84+L85+L86+L87))*D87*$F$4)+(($H$2-(L84+L85+L86+L87+L88))*D88*$F$4)+(($H$2-(L84+L85+L86+L87+L88+L89))*D89*$F$4)+(($H$2-(L84+L85+L86+L87+L88+L89+L90))*D90*$F$4)</f>
        <v>10173</v>
      </c>
      <c r="M91" s="7"/>
      <c r="N91" s="7"/>
      <c r="O91" s="55"/>
      <c r="P91" s="63">
        <f>MROUND(($H$2*0.92),$H$4)</f>
        <v>1380</v>
      </c>
      <c r="Q91" s="73"/>
      <c r="R91" s="73"/>
      <c r="S91" s="39"/>
      <c r="T91" s="40"/>
    </row>
    <row r="92" spans="2:25" x14ac:dyDescent="0.25">
      <c r="C92" s="7"/>
      <c r="D92" s="7"/>
      <c r="E92" s="7"/>
      <c r="F92" s="7"/>
      <c r="G92" s="7"/>
      <c r="H92" s="7"/>
      <c r="I92" s="7"/>
      <c r="J92" s="7"/>
      <c r="K92" s="7"/>
      <c r="L92" s="7"/>
      <c r="M92" s="7"/>
      <c r="N92" s="7"/>
      <c r="O92" s="55"/>
      <c r="P92" s="67">
        <v>0</v>
      </c>
      <c r="R92" s="73"/>
      <c r="S92" s="39"/>
      <c r="T92" s="40"/>
    </row>
    <row r="93" spans="2:25" x14ac:dyDescent="0.25">
      <c r="C93" s="7"/>
      <c r="D93" s="90" t="s">
        <v>49</v>
      </c>
      <c r="E93" s="91"/>
      <c r="F93" s="92"/>
      <c r="G93" s="7"/>
      <c r="H93" s="7"/>
      <c r="I93" s="7"/>
      <c r="J93" s="7"/>
      <c r="K93" s="7"/>
      <c r="L93" s="7"/>
      <c r="M93" s="7"/>
      <c r="N93" s="7"/>
      <c r="O93" s="55"/>
      <c r="P93" s="63">
        <f>MROUND(($H$2*0.24),$H$4)</f>
        <v>360</v>
      </c>
      <c r="R93" s="61"/>
      <c r="S93" s="70"/>
      <c r="T93" s="71"/>
      <c r="U93" s="61"/>
    </row>
    <row r="94" spans="2:25" x14ac:dyDescent="0.25">
      <c r="C94" s="7"/>
      <c r="D94" s="3" t="s">
        <v>34</v>
      </c>
      <c r="E94" s="3" t="s">
        <v>45</v>
      </c>
      <c r="F94" s="3" t="s">
        <v>35</v>
      </c>
      <c r="G94" s="3" t="s">
        <v>36</v>
      </c>
      <c r="H94" s="3" t="s">
        <v>37</v>
      </c>
      <c r="I94" s="3" t="s">
        <v>38</v>
      </c>
      <c r="J94" s="3" t="s">
        <v>39</v>
      </c>
      <c r="K94" s="3" t="s">
        <v>40</v>
      </c>
      <c r="L94" s="3" t="s">
        <v>41</v>
      </c>
      <c r="M94" s="7"/>
      <c r="N94" s="7"/>
      <c r="O94" s="55"/>
      <c r="P94" s="63">
        <f>MROUND(($H$2*0.4),$H$4)</f>
        <v>600</v>
      </c>
      <c r="R94" s="61"/>
      <c r="S94" s="70"/>
      <c r="T94" s="71"/>
      <c r="U94" s="61"/>
    </row>
    <row r="95" spans="2:25" ht="15" customHeight="1" x14ac:dyDescent="0.25">
      <c r="B95" s="88">
        <v>9</v>
      </c>
      <c r="C95" s="26" t="s">
        <v>24</v>
      </c>
      <c r="D95" s="27">
        <f>$H$3</f>
        <v>1</v>
      </c>
      <c r="E95" s="27">
        <f>$H$3+D95</f>
        <v>2</v>
      </c>
      <c r="F95" s="31">
        <f>MROUND(($H$2*0.48),$H$4)</f>
        <v>720</v>
      </c>
      <c r="G95" s="31">
        <f>MROUND(($H$2*0.55),$H$4)</f>
        <v>825</v>
      </c>
      <c r="H95" s="31">
        <f>MROUND(($H$2*0.46),$H$4)</f>
        <v>690</v>
      </c>
      <c r="I95" s="31">
        <f>MROUND(($H$2*0.39),$H$4)</f>
        <v>585</v>
      </c>
      <c r="J95" s="31">
        <f>MROUND(($H$2*0.34),$H$4)</f>
        <v>510</v>
      </c>
      <c r="K95" s="31">
        <f>MROUND(($H$2*0.32),$H$4)</f>
        <v>480</v>
      </c>
      <c r="L95" s="31">
        <f>MROUND(($H$2*0.27),$H$4)</f>
        <v>405</v>
      </c>
      <c r="M95" s="7"/>
      <c r="N95" s="7"/>
      <c r="O95" s="55"/>
      <c r="P95" s="63">
        <f>MROUND(($H$2*0.54),$H$4)</f>
        <v>810</v>
      </c>
      <c r="R95" s="61"/>
      <c r="S95" s="70"/>
      <c r="T95" s="71"/>
      <c r="U95" s="61"/>
    </row>
    <row r="96" spans="2:25" ht="15" customHeight="1" x14ac:dyDescent="0.25">
      <c r="B96" s="88"/>
      <c r="C96" s="26" t="s">
        <v>25</v>
      </c>
      <c r="D96" s="27">
        <f>D95*2</f>
        <v>2</v>
      </c>
      <c r="E96" s="27">
        <f>$H$3+D95+D96</f>
        <v>4</v>
      </c>
      <c r="F96" s="32"/>
      <c r="G96" s="33">
        <f>MROUND(($H$2*0.87),$H$4)-G95</f>
        <v>480</v>
      </c>
      <c r="H96" s="33">
        <f>MROUND(($H$2*0.74),$H$4)-H95</f>
        <v>420</v>
      </c>
      <c r="I96" s="33">
        <f>MROUND(($H$2*0.67),$H$4)-I95</f>
        <v>420</v>
      </c>
      <c r="J96" s="33">
        <f>MROUND(($H$2*0.6),$H$4)-J95</f>
        <v>390</v>
      </c>
      <c r="K96" s="33">
        <f>MROUND(($H$2*0.53),$H$4)-K95</f>
        <v>315</v>
      </c>
      <c r="L96" s="33">
        <f>MROUND(($H$2*0.47),$H$4)-L95</f>
        <v>300</v>
      </c>
      <c r="M96" s="7"/>
      <c r="N96" s="7"/>
      <c r="O96" s="55"/>
      <c r="P96" s="63">
        <f>MROUND(($H$2*0.65),$H$4)</f>
        <v>975</v>
      </c>
      <c r="R96" s="61"/>
      <c r="S96" s="70"/>
      <c r="T96" s="71"/>
      <c r="U96" s="61"/>
    </row>
    <row r="97" spans="2:21" ht="15" customHeight="1" x14ac:dyDescent="0.25">
      <c r="B97" s="88"/>
      <c r="C97" s="26" t="s">
        <v>26</v>
      </c>
      <c r="D97" s="27">
        <f>D96*2</f>
        <v>4</v>
      </c>
      <c r="E97" s="27">
        <f>$H$3+D96+D97+D95</f>
        <v>8</v>
      </c>
      <c r="F97" s="30"/>
      <c r="G97" s="30"/>
      <c r="H97" s="31">
        <f>MROUND(($H$2*0.92),$H$4)-(H95+H96)</f>
        <v>270</v>
      </c>
      <c r="I97" s="31">
        <f>MROUND(($H$2*0.83),$H$4)-(I95+I96)</f>
        <v>240</v>
      </c>
      <c r="J97" s="31">
        <f>MROUND(($H$2*0.77),$H$4)-(J95+J96)</f>
        <v>255</v>
      </c>
      <c r="K97" s="31">
        <f>MROUND(($H$2*0.77),$H$4)-(K95+K96)</f>
        <v>360</v>
      </c>
      <c r="L97" s="31">
        <f>MROUND(($H$2*0.66),$H$4)-(L95+L96)</f>
        <v>285</v>
      </c>
      <c r="M97" s="7"/>
      <c r="N97" s="7"/>
      <c r="O97" s="55"/>
      <c r="P97" s="63">
        <f>MROUND(($H$2*0.74),$H$4)</f>
        <v>1110</v>
      </c>
      <c r="R97" s="61"/>
      <c r="S97" s="70"/>
      <c r="T97" s="71"/>
      <c r="U97" s="61"/>
    </row>
    <row r="98" spans="2:21" ht="15" customHeight="1" x14ac:dyDescent="0.25">
      <c r="B98" s="88"/>
      <c r="C98" s="26" t="s">
        <v>27</v>
      </c>
      <c r="D98" s="27">
        <f>D97*2</f>
        <v>8</v>
      </c>
      <c r="E98" s="27">
        <f>$H$3+D97+D98+D96+D95</f>
        <v>16</v>
      </c>
      <c r="F98" s="32"/>
      <c r="G98" s="32"/>
      <c r="H98" s="32"/>
      <c r="I98" s="33">
        <f>MROUND(($H$2*0.93),$H$4)-(I95+I96+I97)</f>
        <v>150</v>
      </c>
      <c r="J98" s="33">
        <f>MROUND(($H$2*0.89),$H$4)-(J95+J96+J97)</f>
        <v>180</v>
      </c>
      <c r="K98" s="33">
        <f>MROUND(($H$2*0.83),$H$4)-(K95+K96+K97)</f>
        <v>90</v>
      </c>
      <c r="L98" s="33">
        <f>MROUND(($H$2*0.76),$H$4)-(L95+L96+L97)</f>
        <v>150</v>
      </c>
      <c r="M98" s="7"/>
      <c r="N98" s="7"/>
      <c r="O98" s="55"/>
      <c r="P98" s="63">
        <f>MROUND(($H$2*0.82),$H$4)</f>
        <v>1230</v>
      </c>
      <c r="R98" s="61"/>
      <c r="S98" s="70"/>
      <c r="T98" s="71"/>
      <c r="U98" s="61"/>
    </row>
    <row r="99" spans="2:21" ht="15" customHeight="1" x14ac:dyDescent="0.25">
      <c r="B99" s="88"/>
      <c r="C99" s="26" t="s">
        <v>28</v>
      </c>
      <c r="D99" s="27">
        <f t="shared" ref="D99:D101" si="14">D98*2</f>
        <v>16</v>
      </c>
      <c r="E99" s="27">
        <f>$H$3+D98+D99+D97+D96+D95</f>
        <v>32</v>
      </c>
      <c r="F99" s="30"/>
      <c r="G99" s="31"/>
      <c r="H99" s="31"/>
      <c r="I99" s="31"/>
      <c r="J99" s="31">
        <f>MROUND(($H$2*0.95),$H$4)-(J95+J96+J97+J98)</f>
        <v>90</v>
      </c>
      <c r="K99" s="31">
        <f>MROUND(($H$2*0.91),$H$4)-(K95+K96+K97+K98)</f>
        <v>120</v>
      </c>
      <c r="L99" s="31">
        <f>MROUND(($H$2*0.86),$H$4)-(L95+L96+L97+L98)</f>
        <v>150</v>
      </c>
      <c r="M99" s="7"/>
      <c r="N99" s="7"/>
      <c r="O99" s="55"/>
      <c r="P99" s="63">
        <f>MROUND(($H$2*0.87),$H$4)</f>
        <v>1305</v>
      </c>
      <c r="R99" s="61"/>
      <c r="S99" s="70"/>
      <c r="T99" s="71"/>
      <c r="U99" s="61"/>
    </row>
    <row r="100" spans="2:21" ht="15" customHeight="1" x14ac:dyDescent="0.25">
      <c r="B100" s="88"/>
      <c r="C100" s="26" t="s">
        <v>29</v>
      </c>
      <c r="D100" s="27">
        <f t="shared" si="14"/>
        <v>32</v>
      </c>
      <c r="E100" s="27">
        <f>$H$3+D99+D100+D98+D97+D96+D95</f>
        <v>64</v>
      </c>
      <c r="F100" s="32"/>
      <c r="G100" s="32"/>
      <c r="H100" s="32"/>
      <c r="I100" s="32"/>
      <c r="J100" s="32"/>
      <c r="K100" s="33">
        <f>MROUND(($H$2*0.96),$H$4)-(K95+K96+K97+K98+K99)</f>
        <v>75</v>
      </c>
      <c r="L100" s="33">
        <f>MROUND(($H$2*0.92),$H$4)-(L95+L96+L97+L98+L99)</f>
        <v>90</v>
      </c>
      <c r="M100" s="7"/>
      <c r="N100" s="7"/>
      <c r="O100" s="55"/>
      <c r="P100" s="63">
        <f>MROUND(($H$2*0.92),$H$4)</f>
        <v>1380</v>
      </c>
      <c r="R100" s="61"/>
      <c r="S100" s="70"/>
      <c r="T100" s="71"/>
      <c r="U100" s="61"/>
    </row>
    <row r="101" spans="2:21" ht="15" customHeight="1" x14ac:dyDescent="0.25">
      <c r="B101" s="88"/>
      <c r="C101" s="26" t="s">
        <v>30</v>
      </c>
      <c r="D101" s="27">
        <f t="shared" si="14"/>
        <v>64</v>
      </c>
      <c r="E101" s="27">
        <f>$H$3+D100+D101+D99+D98+D97+D96+D95</f>
        <v>128</v>
      </c>
      <c r="F101" s="30"/>
      <c r="G101" s="30"/>
      <c r="H101" s="30"/>
      <c r="I101" s="30"/>
      <c r="J101" s="30"/>
      <c r="K101" s="30"/>
      <c r="L101" s="31">
        <f>MROUND(($H$2*0.97),$H$4)-(L96+L97+L98+L99+L100+L95)</f>
        <v>75</v>
      </c>
      <c r="M101" s="7"/>
      <c r="N101" s="7"/>
      <c r="O101" s="55"/>
      <c r="P101" s="63">
        <f>MROUND(($H$2*0.96),$H$4)</f>
        <v>1440</v>
      </c>
      <c r="R101" s="61"/>
      <c r="S101" s="70"/>
      <c r="T101" s="71"/>
      <c r="U101" s="61"/>
    </row>
    <row r="102" spans="2:21" x14ac:dyDescent="0.25">
      <c r="C102" s="7"/>
      <c r="D102" s="7"/>
      <c r="E102" s="29" t="s">
        <v>22</v>
      </c>
      <c r="F102" s="28">
        <f>(($H$2*D95)*$H$3*$F$4)+(($H$2-F95)*D95*$F$4)</f>
        <v>456</v>
      </c>
      <c r="G102" s="28">
        <f>(($H$2*$H$3)*D95*$F$4)+(($H$2-G95)*D95*$F$4)+(($H$2-(G95+G96))*D96*$F$4)</f>
        <v>513</v>
      </c>
      <c r="H102" s="28">
        <f>(($H$2*$H$3)*D95*$F$4)+(($H$2-H95)*D95*$F$4)+(($H$2-(H95+H96))*D96*$F$4)+(($H$2-(H95+H96+H97))*D97*$F$4)</f>
        <v>714</v>
      </c>
      <c r="I102" s="28">
        <f>(($H$2*$H$3)*D95*$F$4)+(($H$2-I95)*D95*$F$4)+(($H$2-(I95+I96))*D96*$F$4)+(($H$2-(I95+I96+I97))*D97*$F$4)+(($H$2-(I95+I96+I97+I98))*D98*$F$4)</f>
        <v>1053</v>
      </c>
      <c r="J102" s="28">
        <f>(($H$2*$H$3)*D95*$F$4)+(($H$2-J95)*D95*$F$4)+(($H$2-(J95+J96))*D96*$F$4)+(($H$2-(J95+J96+J97))*D97*$F$4)+(($H$2-(J95+J96+J97+J98))*D98*$F$4)+(($H$2-(J95+J96+J97+J98+J99))*D99*$F$4)</f>
        <v>1518</v>
      </c>
      <c r="K102" s="28">
        <f>(($H$2*$H$3)*D95*$F$4)+(($H$2-K95)*D95*$F$4)+(($H$2-(K95+K96))*D96*$F$4)+(($H$2-(K95+K96+K97))*D97*$F$4)+(($H$2-(K95+K96+K97+K98))*D98*$F$4)+(($H$2-(K95+K96+K97+K98+K99))*D99*$F$4)+(($H$2-(K95+K96+K97+K98+K99+K100))*D100*$F$4)</f>
        <v>2286</v>
      </c>
      <c r="L102" s="28">
        <f>(($H$2*$H$3)*D95*$F$4)+(($H$2-L95)*D95*$F$4)+(($H$2-(L95+L96))*D96*$F$4)+(($H$2-(L95+L96+L97))*D97*$F$4)+(($H$2-(L95+L96+L97+L98))*D98*$F$4)+(($H$2-(L95+L96+L97+L98+L99))*D99*$F$4)+(($H$2-(L95+L96+L97+L98+L99+L100))*D100*$F$4)+(($H$2-(L95+L96+L97+L98+L99+L100+L101))*D101*$F$4)</f>
        <v>3837</v>
      </c>
      <c r="M102" s="7"/>
      <c r="N102" s="7"/>
      <c r="O102" s="55"/>
      <c r="P102" s="63">
        <f>MROUND(($H$2*0.98),$H$4)</f>
        <v>1470</v>
      </c>
      <c r="R102" s="61"/>
      <c r="S102" s="70"/>
      <c r="T102" s="71"/>
      <c r="U102" s="61"/>
    </row>
    <row r="103" spans="2:21" x14ac:dyDescent="0.25">
      <c r="C103" s="7"/>
      <c r="D103" s="7"/>
      <c r="E103" s="7"/>
      <c r="F103" s="7"/>
      <c r="G103" s="7"/>
      <c r="H103" s="7"/>
      <c r="I103" s="7"/>
      <c r="J103" s="7"/>
      <c r="K103" s="7"/>
      <c r="L103" s="7"/>
      <c r="M103" s="7"/>
      <c r="N103" s="7"/>
      <c r="O103" s="55"/>
      <c r="P103" s="67">
        <v>0</v>
      </c>
      <c r="R103" s="61"/>
      <c r="S103" s="70"/>
      <c r="T103" s="71"/>
      <c r="U103" s="61"/>
    </row>
    <row r="104" spans="2:21" x14ac:dyDescent="0.25">
      <c r="C104" s="7"/>
      <c r="D104" s="90" t="s">
        <v>49</v>
      </c>
      <c r="E104" s="91"/>
      <c r="F104" s="92"/>
      <c r="G104" s="7"/>
      <c r="H104" s="7"/>
      <c r="I104" s="7"/>
      <c r="J104" s="7"/>
      <c r="K104" s="7"/>
      <c r="L104" s="7"/>
      <c r="M104" s="7"/>
      <c r="N104" s="7"/>
      <c r="O104" s="44"/>
      <c r="P104" s="63">
        <f>MROUND(($H$2*0.17),$H$4)</f>
        <v>255</v>
      </c>
      <c r="R104" s="61"/>
      <c r="S104" s="74"/>
      <c r="T104" s="40"/>
    </row>
    <row r="105" spans="2:21" x14ac:dyDescent="0.25">
      <c r="C105" s="7"/>
      <c r="D105" s="66" t="s">
        <v>34</v>
      </c>
      <c r="E105" s="66" t="s">
        <v>45</v>
      </c>
      <c r="F105" s="66" t="s">
        <v>35</v>
      </c>
      <c r="G105" s="66" t="s">
        <v>36</v>
      </c>
      <c r="H105" s="66" t="s">
        <v>37</v>
      </c>
      <c r="I105" s="66" t="s">
        <v>38</v>
      </c>
      <c r="J105" s="66" t="s">
        <v>39</v>
      </c>
      <c r="K105" s="66" t="s">
        <v>40</v>
      </c>
      <c r="L105" s="66" t="s">
        <v>41</v>
      </c>
      <c r="M105" s="7"/>
      <c r="N105" s="7"/>
      <c r="O105" s="44"/>
      <c r="P105" s="63">
        <f>MROUND(($H$2*0.33),$H$4)</f>
        <v>495</v>
      </c>
      <c r="R105" s="61"/>
      <c r="S105" s="74"/>
      <c r="T105" s="40"/>
    </row>
    <row r="106" spans="2:21" ht="15" customHeight="1" x14ac:dyDescent="0.25">
      <c r="B106" s="89">
        <v>10</v>
      </c>
      <c r="C106" s="26" t="s">
        <v>24</v>
      </c>
      <c r="D106" s="27">
        <f>$H$3</f>
        <v>1</v>
      </c>
      <c r="E106" s="27">
        <f>$H$3+D106</f>
        <v>2</v>
      </c>
      <c r="F106" s="31">
        <f>MROUND(($H$2*0.7),$H$4)</f>
        <v>1050</v>
      </c>
      <c r="G106" s="31">
        <f>MROUND(($H$2*0.5),$H$4)</f>
        <v>750</v>
      </c>
      <c r="H106" s="31">
        <f>MROUND(($H$2*0.39),$H$4)</f>
        <v>585</v>
      </c>
      <c r="I106" s="31">
        <f>MROUND(($H$2*0.33),$H$4)</f>
        <v>495</v>
      </c>
      <c r="J106" s="31">
        <f>MROUND(($H$2*0.27),$H$4)</f>
        <v>405</v>
      </c>
      <c r="K106" s="31">
        <f>MROUND(($H$2*0.23),$H$4)</f>
        <v>345</v>
      </c>
      <c r="L106" s="31">
        <f>MROUND(($H$2*0.2),$H$4)</f>
        <v>300</v>
      </c>
      <c r="M106" s="7"/>
      <c r="N106" s="7"/>
      <c r="O106" s="44"/>
      <c r="P106" s="63">
        <f>MROUND(($H$2*0.48),$H$4)</f>
        <v>720</v>
      </c>
      <c r="R106" s="61"/>
      <c r="S106" s="74"/>
      <c r="T106" s="40"/>
    </row>
    <row r="107" spans="2:21" ht="15" customHeight="1" x14ac:dyDescent="0.25">
      <c r="B107" s="89"/>
      <c r="C107" s="26" t="s">
        <v>25</v>
      </c>
      <c r="D107" s="27">
        <f>D106*2</f>
        <v>2</v>
      </c>
      <c r="E107" s="27">
        <f>$H$3+D106+D107</f>
        <v>4</v>
      </c>
      <c r="F107" s="32"/>
      <c r="G107" s="33">
        <f>MROUND(($H$2*0.8),$H$4)-G106</f>
        <v>450</v>
      </c>
      <c r="H107" s="33">
        <f>MROUND(($H$2*0.76),$H$4)-H106</f>
        <v>555</v>
      </c>
      <c r="I107" s="33">
        <f>MROUND(($H$2*0.62),$H$4)-I106</f>
        <v>435</v>
      </c>
      <c r="J107" s="33">
        <f>MROUND(($H$2*0.53),$H$4)-J106</f>
        <v>390</v>
      </c>
      <c r="K107" s="33">
        <f>MROUND(($H$2*0.47),$H$4)-K106</f>
        <v>360</v>
      </c>
      <c r="L107" s="33">
        <f>MROUND(($H$2*0.42),$H$4)-L106</f>
        <v>330</v>
      </c>
      <c r="M107" s="7"/>
      <c r="N107" s="7"/>
      <c r="O107" s="44"/>
      <c r="P107" s="63">
        <f>MROUND(($H$2*0.61),$H$4)</f>
        <v>915</v>
      </c>
      <c r="R107" s="61"/>
      <c r="S107" s="74"/>
      <c r="T107" s="40"/>
    </row>
    <row r="108" spans="2:21" ht="15" customHeight="1" x14ac:dyDescent="0.25">
      <c r="B108" s="89"/>
      <c r="C108" s="26" t="s">
        <v>26</v>
      </c>
      <c r="D108" s="27">
        <f>D107*2</f>
        <v>4</v>
      </c>
      <c r="E108" s="27">
        <f>$H$3+D107+D108+D106</f>
        <v>8</v>
      </c>
      <c r="F108" s="30"/>
      <c r="G108" s="30"/>
      <c r="H108" s="31">
        <f>MROUND(($H$2*0.86),$H$4)-(H106+H107)</f>
        <v>150</v>
      </c>
      <c r="I108" s="31">
        <f>MROUND(($H$2*0.78),$H$4)-(I106+I107)</f>
        <v>240</v>
      </c>
      <c r="J108" s="31">
        <f>MROUND(($H$2*0.7),$H$4)-(J106+J107)</f>
        <v>255</v>
      </c>
      <c r="K108" s="31">
        <f>MROUND(($H$2*0.66),$H$4)-(K106+K107)</f>
        <v>285</v>
      </c>
      <c r="L108" s="31">
        <f>MROUND(($H$2*0.6),$H$4)-(L106+L107)</f>
        <v>270</v>
      </c>
      <c r="M108" s="7"/>
      <c r="N108" s="7"/>
      <c r="O108" s="44"/>
      <c r="P108" s="63">
        <f>MROUND(($H$2*0.69),$H$4)</f>
        <v>1035</v>
      </c>
      <c r="R108" s="61"/>
      <c r="S108" s="74"/>
      <c r="T108" s="40"/>
    </row>
    <row r="109" spans="2:21" ht="15" customHeight="1" x14ac:dyDescent="0.25">
      <c r="B109" s="89"/>
      <c r="C109" s="26" t="s">
        <v>27</v>
      </c>
      <c r="D109" s="27">
        <f>D108*2</f>
        <v>8</v>
      </c>
      <c r="E109" s="27">
        <f>$H$3+D108+D109+D107+D106</f>
        <v>16</v>
      </c>
      <c r="F109" s="32"/>
      <c r="G109" s="32"/>
      <c r="H109" s="32"/>
      <c r="I109" s="33">
        <f>MROUND(($H$2*0.9),$H$4)-(I106+I107+I108)</f>
        <v>180</v>
      </c>
      <c r="J109" s="33">
        <f>MROUND(($H$2*0.81),$H$4)-(J106+J107+J108)</f>
        <v>165</v>
      </c>
      <c r="K109" s="33">
        <f>MROUND(($H$2*0.77),$H$4)-(K106+K107+K108)</f>
        <v>165</v>
      </c>
      <c r="L109" s="33">
        <f>MROUND(($H$2*0.72),$H$4)-(L106+L107+L108)</f>
        <v>180</v>
      </c>
      <c r="M109" s="7"/>
      <c r="N109" s="7"/>
      <c r="O109" s="44"/>
      <c r="P109" s="63">
        <f>MROUND(($H$2*0.76),$H$4)</f>
        <v>1140</v>
      </c>
      <c r="R109" s="61"/>
      <c r="S109" s="74"/>
      <c r="T109" s="40"/>
    </row>
    <row r="110" spans="2:21" ht="15" customHeight="1" x14ac:dyDescent="0.25">
      <c r="B110" s="89"/>
      <c r="C110" s="26" t="s">
        <v>28</v>
      </c>
      <c r="D110" s="27">
        <f t="shared" ref="D110:D112" si="15">D109*2</f>
        <v>16</v>
      </c>
      <c r="E110" s="27">
        <f>$H$3+D109+D110+D108+D107+D106</f>
        <v>32</v>
      </c>
      <c r="F110" s="30"/>
      <c r="G110" s="31"/>
      <c r="H110" s="31"/>
      <c r="I110" s="31"/>
      <c r="J110" s="31">
        <f>MROUND(($H$2*0.91),$H$4)-(J106+J107+J108+J109)</f>
        <v>150</v>
      </c>
      <c r="K110" s="31">
        <f>MROUND(($H$2*0.86),$H$4)-(K106+K107+K108+K109)</f>
        <v>135</v>
      </c>
      <c r="L110" s="31">
        <f>MROUND(($H$2*0.8),$H$4)-(L106+L107+L108+L109)</f>
        <v>120</v>
      </c>
      <c r="M110" s="7"/>
      <c r="N110" s="7"/>
      <c r="O110" s="44"/>
      <c r="P110" s="63">
        <f>MROUND(($H$2*0.82),$H$4)</f>
        <v>1230</v>
      </c>
      <c r="R110" s="61"/>
      <c r="S110" s="74"/>
      <c r="T110" s="40"/>
    </row>
    <row r="111" spans="2:21" ht="15" customHeight="1" x14ac:dyDescent="0.25">
      <c r="B111" s="89"/>
      <c r="C111" s="26" t="s">
        <v>29</v>
      </c>
      <c r="D111" s="27">
        <f t="shared" si="15"/>
        <v>32</v>
      </c>
      <c r="E111" s="27">
        <f>$H$3+D110+D111+D109+D108+D107+D106</f>
        <v>64</v>
      </c>
      <c r="F111" s="32"/>
      <c r="G111" s="32"/>
      <c r="H111" s="32"/>
      <c r="I111" s="32"/>
      <c r="J111" s="32"/>
      <c r="K111" s="33">
        <f>MROUND(($H$2*0.93),$H$4)-(K106+K107+K108+K109+K110)</f>
        <v>105</v>
      </c>
      <c r="L111" s="33">
        <f>MROUND(($H$2*0.88),$H$4)-(L106+L107+L108+L109+L110)</f>
        <v>120</v>
      </c>
      <c r="M111" s="7"/>
      <c r="N111" s="7"/>
      <c r="O111" s="44"/>
      <c r="P111" s="63">
        <f>MROUND(($H$2*0.87),$H$4)</f>
        <v>1305</v>
      </c>
      <c r="R111" s="61"/>
      <c r="S111" s="74"/>
      <c r="T111" s="40"/>
    </row>
    <row r="112" spans="2:21" ht="15" customHeight="1" x14ac:dyDescent="0.25">
      <c r="B112" s="89"/>
      <c r="C112" s="26" t="s">
        <v>30</v>
      </c>
      <c r="D112" s="27">
        <f t="shared" si="15"/>
        <v>64</v>
      </c>
      <c r="E112" s="27">
        <f>$H$3+D111+D112+D110+D109+D108+D107+D106</f>
        <v>128</v>
      </c>
      <c r="F112" s="30"/>
      <c r="G112" s="30"/>
      <c r="H112" s="30"/>
      <c r="I112" s="30"/>
      <c r="J112" s="30"/>
      <c r="K112" s="30"/>
      <c r="L112" s="31">
        <f>MROUND(($H$2*0.95),$H$4)-(L107+L108+L109+L110+L111+L106)</f>
        <v>105</v>
      </c>
      <c r="M112" s="7"/>
      <c r="N112" s="7"/>
      <c r="O112" s="44"/>
      <c r="P112" s="63">
        <f>MROUND(($H$2*0.93),$H$4)</f>
        <v>1395</v>
      </c>
      <c r="R112" s="61"/>
      <c r="S112" s="74"/>
      <c r="T112" s="40"/>
    </row>
    <row r="113" spans="2:20" x14ac:dyDescent="0.25">
      <c r="C113" s="7"/>
      <c r="D113" s="7"/>
      <c r="E113" s="29" t="s">
        <v>22</v>
      </c>
      <c r="F113" s="28">
        <f>(($H$2*D106)*$H$3*$F$4)+(($H$2-F106)*D106*$F$4)</f>
        <v>390</v>
      </c>
      <c r="G113" s="28">
        <f>(($H$2*$H$3)*D106*$F$4)+(($H$2-G106)*D106*$F$4)+(($H$2-(G106+G107))*D107*$F$4)</f>
        <v>570</v>
      </c>
      <c r="H113" s="28">
        <f>(($H$2*$H$3)*D106*$F$4)+(($H$2-H106)*D106*$F$4)+(($H$2-(H106+H107))*D107*$F$4)+(($H$2-(H106+H107+H108))*D108*$F$4)</f>
        <v>795</v>
      </c>
      <c r="I113" s="28">
        <f>(($H$2*$H$3)*D106*$F$4)+(($H$2-I106)*D106*$F$4)+(($H$2-(I106+I107))*D107*$F$4)+(($H$2-(I106+I107+I108))*D108*$F$4)+(($H$2-(I106+I107+I108+I109))*D109*$F$4)</f>
        <v>1233</v>
      </c>
      <c r="J113" s="28">
        <f>(($H$2*$H$3)*D106*$F$4)+(($H$2-J106)*D106*$F$4)+(($H$2-(J106+J107))*D107*$F$4)+(($H$2-(J106+J107+J108))*D108*$F$4)+(($H$2-(J106+J107+J108+J109))*D109*$F$4)+(($H$2-(J106+J107+J108+J109+J110))*D110*$F$4)</f>
        <v>2049</v>
      </c>
      <c r="K113" s="28">
        <f>(($H$2*$H$3)*D106*$F$4)+(($H$2-K106)*D106*$F$4)+(($H$2-(K106+K107))*D107*$F$4)+(($H$2-(K106+K107+K108))*D108*$F$4)+(($H$2-(K106+K107+K108+K109))*D109*$F$4)+(($H$2-(K106+K107+K108+K109+K110))*D110*$F$4)+(($H$2-(K106+K107+K108+K109+K110+K111))*D111*$F$4)</f>
        <v>3153</v>
      </c>
      <c r="L113" s="28">
        <f>(($H$2*$H$3)*D106*$F$4)+(($H$2-L106)*D106*$F$4)+(($H$2-(L106+L107))*D107*$F$4)+(($H$2-(L106+L107+L108))*D108*$F$4)+(($H$2-(L106+L107+L108+L109))*D109*$F$4)+(($H$2-(L106+L107+L108+L109+L110))*D110*$F$4)+(($H$2-(L106+L107+L108+L109+L110+L111))*D111*$F$4)+(($H$2-(L106+L107+L108+L109+L110+L111+L112))*D112*$F$4)</f>
        <v>5112</v>
      </c>
      <c r="M113" s="7"/>
      <c r="N113" s="7"/>
      <c r="O113" s="44"/>
      <c r="P113" s="63">
        <f>MROUND(($H$2*0.98),$H$4)</f>
        <v>1470</v>
      </c>
      <c r="R113" s="61"/>
      <c r="S113" s="74"/>
      <c r="T113" s="40"/>
    </row>
    <row r="114" spans="2:20" x14ac:dyDescent="0.25">
      <c r="C114" s="7"/>
      <c r="D114" s="7"/>
      <c r="E114" s="7"/>
      <c r="F114" s="7"/>
      <c r="G114" s="7"/>
      <c r="H114" s="7"/>
      <c r="I114" s="7"/>
      <c r="J114" s="7"/>
      <c r="K114" s="7"/>
      <c r="L114" s="7"/>
      <c r="M114" s="7"/>
      <c r="N114" s="7"/>
      <c r="O114" s="44"/>
      <c r="P114" s="44"/>
      <c r="Q114" s="67"/>
      <c r="R114" s="67"/>
      <c r="S114" s="74"/>
      <c r="T114" s="40"/>
    </row>
    <row r="115" spans="2:20" x14ac:dyDescent="0.25">
      <c r="C115" s="7"/>
      <c r="D115" s="90" t="s">
        <v>52</v>
      </c>
      <c r="E115" s="91"/>
      <c r="F115" s="92"/>
      <c r="G115" s="7"/>
      <c r="H115" s="7"/>
      <c r="I115" s="7"/>
      <c r="J115" s="7"/>
      <c r="K115" s="7"/>
      <c r="L115" s="7"/>
      <c r="M115" s="7"/>
      <c r="N115" s="7"/>
      <c r="P115" s="44"/>
      <c r="S115" s="39"/>
      <c r="T115" s="40"/>
    </row>
    <row r="116" spans="2:20" x14ac:dyDescent="0.25">
      <c r="C116" s="7"/>
      <c r="D116" s="3" t="s">
        <v>34</v>
      </c>
      <c r="E116" s="3" t="s">
        <v>45</v>
      </c>
      <c r="F116" s="3" t="s">
        <v>35</v>
      </c>
      <c r="G116" s="3" t="s">
        <v>36</v>
      </c>
      <c r="H116" s="3" t="s">
        <v>37</v>
      </c>
      <c r="I116" s="3" t="s">
        <v>38</v>
      </c>
      <c r="J116" s="3" t="s">
        <v>39</v>
      </c>
      <c r="K116" s="3" t="s">
        <v>40</v>
      </c>
      <c r="L116" s="3" t="s">
        <v>41</v>
      </c>
      <c r="M116" s="3" t="s">
        <v>42</v>
      </c>
      <c r="N116" s="3" t="s">
        <v>43</v>
      </c>
      <c r="O116" s="3" t="s">
        <v>44</v>
      </c>
      <c r="P116" s="44">
        <v>0</v>
      </c>
      <c r="S116" s="39"/>
      <c r="T116" s="40"/>
    </row>
    <row r="117" spans="2:20" x14ac:dyDescent="0.25">
      <c r="B117" s="89">
        <v>11</v>
      </c>
      <c r="C117" s="26" t="s">
        <v>24</v>
      </c>
      <c r="D117" s="27">
        <f>$H$3</f>
        <v>1</v>
      </c>
      <c r="E117" s="27">
        <f>$H$3+D117</f>
        <v>2</v>
      </c>
      <c r="F117" s="31">
        <f>MROUND(($H$2*0.5),$H$4)</f>
        <v>750</v>
      </c>
      <c r="G117" s="31">
        <f>MROUND(($H$2*0.333),$H$4)</f>
        <v>500</v>
      </c>
      <c r="H117" s="31">
        <f>MROUND(($H$2*0.25),$H$4)</f>
        <v>375</v>
      </c>
      <c r="I117" s="31">
        <f>MROUND(($H$2*0.2),$H$4)</f>
        <v>300</v>
      </c>
      <c r="J117" s="31">
        <f>MROUND(($H$2*0.166),$H$4)</f>
        <v>250</v>
      </c>
      <c r="K117" s="31">
        <f>MROUND(($H$2*0.142),$H$4)</f>
        <v>215</v>
      </c>
      <c r="L117" s="31">
        <f>MROUND(($H$2*0.125),$H$4)</f>
        <v>190</v>
      </c>
      <c r="M117" s="31">
        <f>MROUND(($H$2*0.111),$H$4)</f>
        <v>165</v>
      </c>
      <c r="N117" s="31">
        <f>MROUND(($H$2*0.1),$H$4)</f>
        <v>150</v>
      </c>
      <c r="O117" s="31">
        <f>MROUND(($H$2*0.09),$H$4)</f>
        <v>135</v>
      </c>
      <c r="P117" s="45">
        <f>O117</f>
        <v>135</v>
      </c>
      <c r="S117" s="39"/>
      <c r="T117" s="40"/>
    </row>
    <row r="118" spans="2:20" x14ac:dyDescent="0.25">
      <c r="B118" s="89"/>
      <c r="C118" s="26" t="s">
        <v>25</v>
      </c>
      <c r="D118" s="27">
        <f>D117</f>
        <v>1</v>
      </c>
      <c r="E118" s="27">
        <f>$H$3+D117+D118</f>
        <v>3</v>
      </c>
      <c r="F118" s="32"/>
      <c r="G118" s="33">
        <f>MROUND(($H$2*0.666),$H$4)-G117</f>
        <v>500</v>
      </c>
      <c r="H118" s="33">
        <f>MROUND(($H$2*0.5),$H$4)-H117</f>
        <v>375</v>
      </c>
      <c r="I118" s="33">
        <f>MROUND(($H$2*0.4),$H$4)-I117</f>
        <v>300</v>
      </c>
      <c r="J118" s="33">
        <f>MROUND(($H$2*0.333),$H$4)-J117</f>
        <v>250</v>
      </c>
      <c r="K118" s="33">
        <f>MROUND(($H$2*0.285),$H$4)-K117</f>
        <v>210</v>
      </c>
      <c r="L118" s="33">
        <f>MROUND(($H$2*0.25),$H$4)-L117</f>
        <v>185</v>
      </c>
      <c r="M118" s="33">
        <f>MROUND(($H$2*0.222),$H$4)-M117</f>
        <v>170</v>
      </c>
      <c r="N118" s="33">
        <f>MROUND(($H$2*0.2),$H$4)-N117</f>
        <v>150</v>
      </c>
      <c r="O118" s="33">
        <f>MROUND(($H$2*0.181),$H$4)-O117</f>
        <v>135</v>
      </c>
      <c r="P118" s="45">
        <f>P117+O118</f>
        <v>270</v>
      </c>
      <c r="S118" s="39"/>
      <c r="T118" s="40"/>
    </row>
    <row r="119" spans="2:20" x14ac:dyDescent="0.25">
      <c r="B119" s="89"/>
      <c r="C119" s="26" t="s">
        <v>26</v>
      </c>
      <c r="D119" s="27">
        <f>D118*2</f>
        <v>2</v>
      </c>
      <c r="E119" s="27">
        <f>$H$3+D118+D119+D117</f>
        <v>5</v>
      </c>
      <c r="F119" s="30"/>
      <c r="G119" s="31"/>
      <c r="H119" s="31">
        <f>MROUND(($H$2*0.75),$H$4)-(H117+H118)</f>
        <v>375</v>
      </c>
      <c r="I119" s="31">
        <f>MROUND(($H$2*0.6),$H$4)-(I117+I118)</f>
        <v>300</v>
      </c>
      <c r="J119" s="31">
        <f>MROUND(($H$2*0.5),$H$4)-(J117+J118)</f>
        <v>250</v>
      </c>
      <c r="K119" s="31">
        <f>MROUND(($H$2*0.428),$H$4)-(K117+K118)</f>
        <v>215</v>
      </c>
      <c r="L119" s="31">
        <f>MROUND(($H$2*0.375),$H$4)-(L117+L118)</f>
        <v>190</v>
      </c>
      <c r="M119" s="31">
        <f>MROUND(($H$2*0.333),$H$4)-(M117+M118)</f>
        <v>165</v>
      </c>
      <c r="N119" s="31">
        <f>MROUND(($H$2*0.3),$H$4)-(N117+N118)</f>
        <v>150</v>
      </c>
      <c r="O119" s="31">
        <f>MROUND(($H$2*0.272),$H$4)-(O117+O118)</f>
        <v>140</v>
      </c>
      <c r="P119" s="45">
        <f t="shared" ref="P119:P126" si="16">P118+O119</f>
        <v>410</v>
      </c>
      <c r="S119" s="39"/>
      <c r="T119" s="40"/>
    </row>
    <row r="120" spans="2:20" x14ac:dyDescent="0.25">
      <c r="B120" s="89"/>
      <c r="C120" s="26" t="s">
        <v>27</v>
      </c>
      <c r="D120" s="27">
        <f>D119</f>
        <v>2</v>
      </c>
      <c r="E120" s="27">
        <f>$H$3+D119+D120+D118+D117</f>
        <v>7</v>
      </c>
      <c r="F120" s="32"/>
      <c r="G120" s="32"/>
      <c r="H120" s="32"/>
      <c r="I120" s="33">
        <f>MROUND(($H$2*0.8),$H$4)-(I117+I118+I119)</f>
        <v>300</v>
      </c>
      <c r="J120" s="33">
        <f>MROUND(($H$2*0.666),$H$4)-(J117+J118+J119)</f>
        <v>250</v>
      </c>
      <c r="K120" s="33">
        <f>MROUND(($H$2*0.571),$H$4)-(K117+K118+K119)</f>
        <v>215</v>
      </c>
      <c r="L120" s="33">
        <f>MROUND(($H$2*0.5),$H$4)-(L117+L118+L119)</f>
        <v>185</v>
      </c>
      <c r="M120" s="33">
        <f>MROUND(($H$2*0.444),$H$4)-(M117+M118+M119)</f>
        <v>165</v>
      </c>
      <c r="N120" s="33">
        <f>MROUND(($H$2*0.4),$H$4)-(N117+N118+N119)</f>
        <v>150</v>
      </c>
      <c r="O120" s="33">
        <f>MROUND(($H$2*0.363),$H$4)-(O117+O118+O119)</f>
        <v>135</v>
      </c>
      <c r="P120" s="45">
        <f t="shared" si="16"/>
        <v>545</v>
      </c>
      <c r="S120" s="39"/>
      <c r="T120" s="40"/>
    </row>
    <row r="121" spans="2:20" x14ac:dyDescent="0.25">
      <c r="B121" s="89"/>
      <c r="C121" s="26" t="s">
        <v>28</v>
      </c>
      <c r="D121" s="27">
        <f t="shared" ref="D121:D123" si="17">D120*2</f>
        <v>4</v>
      </c>
      <c r="E121" s="27">
        <f>$H$3+D120+D121+D119+D118+D117</f>
        <v>11</v>
      </c>
      <c r="F121" s="30"/>
      <c r="G121" s="30"/>
      <c r="H121" s="31"/>
      <c r="I121" s="31"/>
      <c r="J121" s="31">
        <f>MROUND(($H$2*0.833),$H$4)-(J117+J118+J119+J120)</f>
        <v>250</v>
      </c>
      <c r="K121" s="31">
        <f>MROUND(($H$2*0.712),$H$4)-(K117+K118+K119+K120)</f>
        <v>215</v>
      </c>
      <c r="L121" s="31">
        <f>MROUND(($H$2*0.625),$H$4)-(L117+L118+L119+L120)</f>
        <v>190</v>
      </c>
      <c r="M121" s="31">
        <f>MROUND(($H$2*0.555),$H$4)-(M117+M118+M119+M120)</f>
        <v>170</v>
      </c>
      <c r="N121" s="31">
        <f>MROUND(($H$2*0.5),$H$4)-(N117+N118+N119+N120)</f>
        <v>150</v>
      </c>
      <c r="O121" s="31">
        <f>MROUND(($H$2*0.454),$H$4)-(O117+O118+O119+O120)</f>
        <v>135</v>
      </c>
      <c r="P121" s="45">
        <f t="shared" si="16"/>
        <v>680</v>
      </c>
      <c r="S121" s="39"/>
      <c r="T121" s="40"/>
    </row>
    <row r="122" spans="2:20" x14ac:dyDescent="0.25">
      <c r="B122" s="89"/>
      <c r="C122" s="26" t="s">
        <v>29</v>
      </c>
      <c r="D122" s="27">
        <f>D121</f>
        <v>4</v>
      </c>
      <c r="E122" s="27">
        <f>$H$3+D121+D122+D120+D119+D118+D117</f>
        <v>15</v>
      </c>
      <c r="F122" s="32"/>
      <c r="G122" s="32"/>
      <c r="H122" s="32"/>
      <c r="I122" s="32"/>
      <c r="J122" s="32"/>
      <c r="K122" s="33">
        <f>MROUND(($H$2*0.857),$H$4)-(K117+K118+K119+K120+K121)</f>
        <v>215</v>
      </c>
      <c r="L122" s="33">
        <f>MROUND(($H$2*0.75),$H$4)-(L117+L118+L119+L120+L121)</f>
        <v>185</v>
      </c>
      <c r="M122" s="33">
        <f>MROUND(($H$2*0.666),$H$4)-(M117+M118+M119+M120+M121)</f>
        <v>165</v>
      </c>
      <c r="N122" s="33">
        <f>MROUND(($H$2*0.6),$H$4)-(N117+N118+N119+N120+N121)</f>
        <v>150</v>
      </c>
      <c r="O122" s="33">
        <f>MROUND(($H$2*0.545),$H$4)-(O117+O118+O119+O120+O121)</f>
        <v>140</v>
      </c>
      <c r="P122" s="45">
        <f t="shared" si="16"/>
        <v>820</v>
      </c>
      <c r="S122" s="39"/>
      <c r="T122" s="40"/>
    </row>
    <row r="123" spans="2:20" x14ac:dyDescent="0.25">
      <c r="B123" s="89"/>
      <c r="C123" s="26" t="s">
        <v>30</v>
      </c>
      <c r="D123" s="27">
        <f t="shared" si="17"/>
        <v>8</v>
      </c>
      <c r="E123" s="27">
        <f>$H$3+D122+D123+D121+D120+D119+D118+D117</f>
        <v>23</v>
      </c>
      <c r="F123" s="30"/>
      <c r="G123" s="30"/>
      <c r="H123" s="30"/>
      <c r="I123" s="30"/>
      <c r="J123" s="30"/>
      <c r="K123" s="30"/>
      <c r="L123" s="31">
        <f>MROUND(($H$2*0.875),$H$4)-(L118+L119+L120+L121+L122+L117)</f>
        <v>190</v>
      </c>
      <c r="M123" s="31">
        <f>MROUND(($H$2*0.777),$H$4)-(M118+M119+M120+M121+M122+M117)</f>
        <v>165</v>
      </c>
      <c r="N123" s="31">
        <f>MROUND(($H$2*0.7),$H$4)-(N118+N119+N120+N121+N122+N117)</f>
        <v>150</v>
      </c>
      <c r="O123" s="31">
        <f>MROUND(($H$2*0.636),$H$4)-(O118+O119+O120+O121+O122+O117)</f>
        <v>135</v>
      </c>
      <c r="P123" s="45">
        <f t="shared" si="16"/>
        <v>955</v>
      </c>
      <c r="S123" s="39"/>
      <c r="T123" s="40"/>
    </row>
    <row r="124" spans="2:20" x14ac:dyDescent="0.25">
      <c r="B124" s="89"/>
      <c r="C124" s="26" t="s">
        <v>31</v>
      </c>
      <c r="D124" s="27">
        <f>D123</f>
        <v>8</v>
      </c>
      <c r="E124" s="27">
        <f>$H$3+D123+D124+D122+D121+D120+D119+D118+D117</f>
        <v>31</v>
      </c>
      <c r="F124" s="32"/>
      <c r="G124" s="32"/>
      <c r="H124" s="32"/>
      <c r="I124" s="32"/>
      <c r="J124" s="32"/>
      <c r="K124" s="32"/>
      <c r="L124" s="32"/>
      <c r="M124" s="33">
        <f>MROUND(($H$2*0.888),$H$4)-(M119+M120+M121+M122+M123+M118+M117)</f>
        <v>165</v>
      </c>
      <c r="N124" s="33">
        <f>MROUND(($H$2*0.8),$H$4)-(N119+N120+N121+N122+N123+N118+N117)</f>
        <v>150</v>
      </c>
      <c r="O124" s="33">
        <f>MROUND(($H$2*0.727),$H$4)-(O119+O120+O121+O122+O123+O118+O117)</f>
        <v>135</v>
      </c>
      <c r="P124" s="45">
        <f t="shared" si="16"/>
        <v>1090</v>
      </c>
      <c r="S124" s="39"/>
      <c r="T124" s="40"/>
    </row>
    <row r="125" spans="2:20" x14ac:dyDescent="0.25">
      <c r="B125" s="89"/>
      <c r="C125" s="26" t="s">
        <v>32</v>
      </c>
      <c r="D125" s="27">
        <f>D124*2</f>
        <v>16</v>
      </c>
      <c r="E125" s="27">
        <f>$H$3+D124+D125+D123+D122+D121+D120+D119+D118+D117</f>
        <v>47</v>
      </c>
      <c r="F125" s="30"/>
      <c r="G125" s="30"/>
      <c r="H125" s="30"/>
      <c r="I125" s="30"/>
      <c r="J125" s="30"/>
      <c r="K125" s="30"/>
      <c r="L125" s="30"/>
      <c r="M125" s="31"/>
      <c r="N125" s="31">
        <f>MROUND(($H$2*0.9),$H$4)-(N117+N118+N120+N121+N122+N123+N124+N119)</f>
        <v>150</v>
      </c>
      <c r="O125" s="31">
        <f>MROUND(($H$2*0.818),$H$4)-(O117+O118+O120+O121+O122+O123+O124+O119)</f>
        <v>135</v>
      </c>
      <c r="P125" s="45">
        <f t="shared" si="16"/>
        <v>1225</v>
      </c>
      <c r="S125" s="39"/>
      <c r="T125" s="40"/>
    </row>
    <row r="126" spans="2:20" x14ac:dyDescent="0.25">
      <c r="B126" s="89"/>
      <c r="C126" s="26" t="s">
        <v>33</v>
      </c>
      <c r="D126" s="27">
        <f>D125</f>
        <v>16</v>
      </c>
      <c r="E126" s="27">
        <f>$H$3+D125+D126+D124+D123+D122+D121+D120+D119+D118+D117</f>
        <v>63</v>
      </c>
      <c r="F126" s="32"/>
      <c r="G126" s="32"/>
      <c r="H126" s="32"/>
      <c r="I126" s="32"/>
      <c r="J126" s="32"/>
      <c r="K126" s="32"/>
      <c r="L126" s="32"/>
      <c r="M126" s="33"/>
      <c r="N126" s="33"/>
      <c r="O126" s="31">
        <f>MROUND(($H$2*0.909),$H$4)-(O117+O118+O119+O121+O122+O123+O124+O125+O120)</f>
        <v>140</v>
      </c>
      <c r="P126" s="45">
        <f t="shared" si="16"/>
        <v>1365</v>
      </c>
      <c r="S126" s="39"/>
      <c r="T126" s="40"/>
    </row>
    <row r="127" spans="2:20" x14ac:dyDescent="0.25">
      <c r="C127" s="7"/>
      <c r="D127" s="7"/>
      <c r="E127" s="29" t="s">
        <v>22</v>
      </c>
      <c r="F127" s="28">
        <f>(($H$2*D117)*$H$3*$F$4)+(($H$2-F117)*D117*$F$4)</f>
        <v>450</v>
      </c>
      <c r="G127" s="28">
        <f>(($H$2*$H$3)*D117*$F$4)+(($H$2-G117)*D117*$F$4)+(($H$2-(G117+G118))*D118*$F$4)</f>
        <v>600</v>
      </c>
      <c r="H127" s="28">
        <f>(($H$2*$H$3)*D117*$F$4)+(($H$2-H117)*D117*$F$4)+(($H$2-(H117+H118))*D118*$F$4)+(($H$2-(H117+H118+H119))*D119*$F$4)</f>
        <v>825</v>
      </c>
      <c r="I127" s="28">
        <f>(($H$2*$H$3)*D117*$F$4)+(($H$2-I117)*D117*$F$4)+(($H$2-(I117+I118))*D118*$F$4)+(($H$2-(I117+I118+I119))*D119*$F$4)+(($H$2-(I117+I118+I119+I120))*D120*$F$4)</f>
        <v>1080</v>
      </c>
      <c r="J127" s="28">
        <f>(($H$2*$H$3)*D117*$F$4)+(($H$2-J117)*D117*$F$4)+(($H$2-(J117+J118))*D118*$F$4)+(($H$2-(J117+J118+J119))*D119*$F$4)+(($H$2-(J117+J118+J119+J120))*D120*$F$4)+(($H$2-(J117+J118+J119+J120+J121))*D121*$F$4)</f>
        <v>1450</v>
      </c>
      <c r="K127" s="28">
        <f>(($H$2*$H$3)*D117*$F$4)+(($H$2-K117)*D117*$F$4)+(($H$2-(K117+K118))*D118*$F$4)+(($H$2-(K117+K118+K119))*D119*$F$4)+(($H$2-(K117+K118+K119+K120))*D120*$F$4)+(($H$2-(K117+K118+K119+K120+K121))*D121*$F$4)+(($H$2-(K117+K118+K119+K120+K121+K122))*D122*$F$4)</f>
        <v>1890</v>
      </c>
      <c r="L127" s="28">
        <f>(($H$2*$H$3)*D117*$F$4)+(($H$2-L117)*D117*$F$4)+(($H$2-(L117+L118))*D118*$F$4)+(($H$2-(L117+L118+L119))*D119*$F$4)+(($H$2-(L117+L118+L119+L120))*D120*$F$4)+(($H$2-(L117+L118+L119+L120+L121))*D121*$F$4)+(($H$2-(L117+L118+L119+L120+L121+L122))*D122*$F$4)+(($H$2-(L117+L118+L119+L120+L121+L122+L123))*D123*$F$4)</f>
        <v>2505</v>
      </c>
      <c r="M127" s="28">
        <f>(($H$2*$H$3)*D117*$F$4)+(($H$2-M117)*D117*$F$4)+(($H$2-(M117+M118))*D118*$F$4)+(($H$2-(M117+M118+M119))*D119*$F$4)+(($H$2-(M117+M118+M119+M120))*D120*$F$4)+(($H$2-(M117+M118+M119+M120+M121))*D121*$F$4)+(($H$2-(M117+M118+M119+M120+M121+M122))*D122*$F$4)+(($H$2-(M117+M118+M119+M120+M121+M122+M123))*D123*$F$4)+(($H$2-(M117+M118+M119+M120+M121+M122+M123+M124))*D124*$F$4)</f>
        <v>3274</v>
      </c>
      <c r="N127" s="28">
        <f>(($H$2*$H$3)*D117*$F$4)+(($H$2-N117)*D117*$F$4)+(($H$2-(N117+N118))*D118*$F$4)+(($H$2-(N117+N118+N119))*D119*$F$4)+(($H$2-(N117+N118+N119+N120))*D120*$F$4)+(($H$2-(N117+N118+N119+N120+N121))*D121*$F$4)+(($H$2-(N117+N118+N119+N120+N121+N122))*D122*$F$4)+(($H$2-(N117+N118+N119+N120+N121+N122+N123))*D123*$F$4)+(($H$2-(N117+N118+N119+N120+N121+N122+N123+N124))*D124*$F$4)+(($H$2-(N117+N118+N119+N120+N121+N122+N123+N124+N125))*D125*$F$4)</f>
        <v>4350</v>
      </c>
      <c r="O127" s="28">
        <f>(($H$2*$H$3)*D117*$F$4)+(($H$2-O117)*D117*$F$4)+(($H$2-(O117+O118))*D118*$F$4)+(($H$2-(O117+O118+O119))*D119*$F$4)+(($H$2-(O117+O118+O119+O120))*D120*$F$4)+(($H$2-(O117+O118+O119+O120+O121))*D121*$F$4)+(($H$2-(O117+O118+O119+O120+O121+O122))*D122*$F$4)+(($H$2-(O117+O118+O119+O120+O121+O122+O123))*D123*$F$4)+(($H$2-(O117+O118+O119+O120+O121+O122+O123+O124))*D124*$F$4)+(($H$2-(O117+O118+O119+O120+O121+O122+O123+O124+O125))*D125*$F$4)+(($H$2-(O117+O118+O119+O120+O121+O122+O123+O124+O125+O126))*D126*$F$4)</f>
        <v>5677</v>
      </c>
      <c r="P127" s="44"/>
      <c r="S127" s="39"/>
      <c r="T127" s="40"/>
    </row>
    <row r="128" spans="2:20" x14ac:dyDescent="0.25">
      <c r="C128" s="7"/>
      <c r="D128" s="7"/>
      <c r="E128" s="7"/>
      <c r="F128" s="7"/>
      <c r="G128" s="7"/>
      <c r="H128" s="7"/>
      <c r="I128" s="7"/>
      <c r="J128" s="7"/>
      <c r="K128" s="7"/>
      <c r="L128" s="7"/>
      <c r="M128" s="7"/>
      <c r="N128" s="7"/>
      <c r="O128" s="7"/>
      <c r="P128" s="7"/>
    </row>
    <row r="129" spans="3:16" x14ac:dyDescent="0.25">
      <c r="C129" s="7"/>
      <c r="D129" s="7"/>
      <c r="E129" s="7"/>
      <c r="F129" s="7"/>
      <c r="G129" s="7"/>
      <c r="H129" s="7"/>
      <c r="I129" s="7"/>
      <c r="J129" s="7"/>
      <c r="K129" s="7"/>
      <c r="L129" s="7"/>
      <c r="M129" s="7"/>
      <c r="N129" s="7"/>
      <c r="O129" s="7"/>
      <c r="P129" s="7"/>
    </row>
    <row r="130" spans="3:16" x14ac:dyDescent="0.25">
      <c r="C130" s="7"/>
      <c r="D130" s="7"/>
      <c r="E130" s="7"/>
      <c r="F130" s="7"/>
      <c r="G130" s="7"/>
      <c r="H130" s="7"/>
      <c r="I130" s="7"/>
      <c r="J130" s="7"/>
      <c r="K130" s="7"/>
      <c r="L130" s="7"/>
      <c r="M130" s="7"/>
      <c r="N130" s="7"/>
      <c r="O130" s="7"/>
      <c r="P130" s="7"/>
    </row>
    <row r="131" spans="3:16" x14ac:dyDescent="0.25">
      <c r="C131" s="7"/>
      <c r="D131" s="7"/>
      <c r="E131" s="7"/>
      <c r="F131" s="7"/>
      <c r="G131" s="7"/>
      <c r="H131" s="7"/>
      <c r="I131" s="7"/>
      <c r="J131" s="7"/>
      <c r="K131" s="7"/>
      <c r="L131" s="7"/>
      <c r="M131" s="7"/>
      <c r="N131" s="7"/>
      <c r="O131" s="7"/>
      <c r="P131" s="7"/>
    </row>
    <row r="132" spans="3:16" x14ac:dyDescent="0.25">
      <c r="C132" s="7"/>
      <c r="D132" s="7"/>
      <c r="E132" s="7"/>
      <c r="F132" s="7"/>
      <c r="G132" s="7"/>
      <c r="H132" s="7"/>
      <c r="I132" s="7"/>
      <c r="J132" s="7"/>
      <c r="K132" s="7"/>
      <c r="L132" s="7"/>
      <c r="M132" s="7"/>
      <c r="N132" s="7"/>
      <c r="O132" s="7"/>
      <c r="P132" s="7"/>
    </row>
    <row r="133" spans="3:16" x14ac:dyDescent="0.25">
      <c r="C133" s="7"/>
      <c r="D133" s="7"/>
      <c r="E133" s="7"/>
      <c r="F133" s="7"/>
      <c r="G133" s="7"/>
      <c r="H133" s="7"/>
      <c r="I133" s="7"/>
      <c r="J133" s="7"/>
      <c r="K133" s="7"/>
      <c r="L133" s="7"/>
      <c r="M133" s="7"/>
      <c r="N133" s="7"/>
      <c r="O133" s="7"/>
      <c r="P133" s="7"/>
    </row>
    <row r="134" spans="3:16" x14ac:dyDescent="0.25">
      <c r="C134" s="7"/>
      <c r="D134" s="7"/>
      <c r="E134" s="7"/>
      <c r="F134" s="7"/>
      <c r="G134" s="7"/>
      <c r="H134" s="7"/>
      <c r="I134" s="7"/>
      <c r="J134" s="7"/>
      <c r="K134" s="7"/>
      <c r="L134" s="7"/>
      <c r="M134" s="7"/>
      <c r="N134" s="7"/>
      <c r="O134" s="7"/>
      <c r="P134" s="7"/>
    </row>
    <row r="135" spans="3:16" x14ac:dyDescent="0.25">
      <c r="C135" s="7"/>
      <c r="D135" s="7"/>
      <c r="E135" s="7"/>
      <c r="F135" s="7"/>
      <c r="G135" s="7"/>
      <c r="H135" s="7"/>
      <c r="I135" s="7"/>
      <c r="J135" s="7"/>
      <c r="K135" s="7"/>
      <c r="L135" s="7"/>
      <c r="M135" s="7"/>
      <c r="N135" s="7"/>
      <c r="O135" s="7"/>
      <c r="P135" s="7"/>
    </row>
    <row r="136" spans="3:16" x14ac:dyDescent="0.25">
      <c r="C136" s="7"/>
      <c r="D136" s="7"/>
      <c r="E136" s="7"/>
      <c r="F136" s="7"/>
      <c r="G136" s="7"/>
      <c r="H136" s="7"/>
      <c r="I136" s="7"/>
      <c r="J136" s="7"/>
      <c r="K136" s="7"/>
      <c r="L136" s="7"/>
      <c r="M136" s="7"/>
      <c r="N136" s="7"/>
      <c r="O136" s="7"/>
      <c r="P136" s="7"/>
    </row>
    <row r="137" spans="3:16" x14ac:dyDescent="0.25">
      <c r="C137" s="7"/>
      <c r="D137" s="7"/>
      <c r="E137" s="7"/>
      <c r="F137" s="7"/>
      <c r="G137" s="7"/>
      <c r="H137" s="7"/>
      <c r="I137" s="7"/>
      <c r="J137" s="7"/>
      <c r="K137" s="7"/>
      <c r="L137" s="7"/>
      <c r="M137" s="7"/>
      <c r="N137" s="7"/>
      <c r="O137" s="7"/>
      <c r="P137" s="7"/>
    </row>
    <row r="138" spans="3:16" x14ac:dyDescent="0.25">
      <c r="C138" s="7"/>
      <c r="D138" s="7"/>
      <c r="E138" s="7"/>
      <c r="F138" s="7"/>
      <c r="G138" s="7"/>
      <c r="H138" s="7"/>
      <c r="I138" s="7"/>
      <c r="J138" s="7"/>
      <c r="K138" s="7"/>
      <c r="L138" s="7"/>
      <c r="M138" s="7"/>
      <c r="N138" s="7"/>
      <c r="O138" s="7"/>
      <c r="P138" s="7"/>
    </row>
    <row r="139" spans="3:16" x14ac:dyDescent="0.25">
      <c r="C139" s="7"/>
      <c r="D139" s="7"/>
      <c r="E139" s="7"/>
      <c r="F139" s="7"/>
      <c r="G139" s="7"/>
      <c r="H139" s="7"/>
      <c r="I139" s="7"/>
      <c r="J139" s="7"/>
      <c r="K139" s="7"/>
      <c r="L139" s="7"/>
      <c r="M139" s="7"/>
      <c r="N139" s="7"/>
      <c r="O139" s="7"/>
      <c r="P139" s="7"/>
    </row>
    <row r="140" spans="3:16" x14ac:dyDescent="0.25">
      <c r="C140" s="7"/>
      <c r="D140" s="7"/>
      <c r="E140" s="7"/>
      <c r="F140" s="7"/>
      <c r="G140" s="7"/>
      <c r="H140" s="7"/>
      <c r="I140" s="7"/>
      <c r="J140" s="7"/>
      <c r="K140" s="7"/>
      <c r="L140" s="7"/>
      <c r="M140" s="7"/>
      <c r="N140" s="7"/>
      <c r="O140" s="7"/>
      <c r="P140" s="7"/>
    </row>
    <row r="141" spans="3:16" x14ac:dyDescent="0.25">
      <c r="C141" s="7"/>
      <c r="D141" s="7"/>
      <c r="E141" s="7"/>
      <c r="F141" s="7"/>
      <c r="G141" s="7"/>
      <c r="H141" s="7"/>
      <c r="I141" s="7"/>
      <c r="J141" s="7"/>
      <c r="K141" s="7"/>
      <c r="L141" s="7"/>
      <c r="M141" s="7"/>
      <c r="N141" s="7"/>
      <c r="O141" s="7"/>
      <c r="P141" s="7"/>
    </row>
    <row r="142" spans="3:16" x14ac:dyDescent="0.25">
      <c r="C142" s="7"/>
      <c r="D142" s="7"/>
      <c r="E142" s="7"/>
      <c r="F142" s="7"/>
      <c r="G142" s="7"/>
      <c r="H142" s="7"/>
      <c r="I142" s="7"/>
      <c r="J142" s="7"/>
      <c r="K142" s="7"/>
      <c r="L142" s="7"/>
      <c r="M142" s="7"/>
      <c r="N142" s="7"/>
      <c r="O142" s="7"/>
      <c r="P142" s="7"/>
    </row>
    <row r="143" spans="3:16" x14ac:dyDescent="0.25">
      <c r="C143" s="7"/>
      <c r="D143" s="7"/>
      <c r="E143" s="7"/>
      <c r="F143" s="7"/>
      <c r="G143" s="7"/>
      <c r="H143" s="7"/>
      <c r="I143" s="7"/>
      <c r="J143" s="7"/>
      <c r="K143" s="7"/>
      <c r="L143" s="7"/>
      <c r="M143" s="7"/>
      <c r="N143" s="7"/>
      <c r="O143" s="7"/>
      <c r="P143" s="7"/>
    </row>
    <row r="144" spans="3:16" x14ac:dyDescent="0.25">
      <c r="C144" s="7"/>
      <c r="D144" s="7"/>
      <c r="E144" s="7"/>
      <c r="F144" s="7"/>
      <c r="G144" s="7"/>
      <c r="H144" s="7"/>
      <c r="I144" s="7"/>
      <c r="J144" s="7"/>
      <c r="K144" s="7"/>
      <c r="L144" s="7"/>
      <c r="M144" s="7"/>
      <c r="N144" s="7"/>
      <c r="O144" s="7"/>
      <c r="P144" s="7"/>
    </row>
    <row r="145" spans="3:16" x14ac:dyDescent="0.25">
      <c r="C145" s="7"/>
      <c r="D145" s="7"/>
      <c r="E145" s="7"/>
      <c r="F145" s="7"/>
      <c r="G145" s="7"/>
      <c r="H145" s="7"/>
      <c r="I145" s="7"/>
      <c r="J145" s="7"/>
      <c r="K145" s="7"/>
      <c r="L145" s="7"/>
      <c r="M145" s="7"/>
      <c r="N145" s="7"/>
      <c r="O145" s="7"/>
      <c r="P145" s="7"/>
    </row>
    <row r="146" spans="3:16" x14ac:dyDescent="0.25">
      <c r="C146" s="7"/>
      <c r="D146" s="7"/>
      <c r="E146" s="7"/>
      <c r="F146" s="7"/>
      <c r="G146" s="7"/>
      <c r="H146" s="7"/>
      <c r="I146" s="7"/>
      <c r="J146" s="7"/>
      <c r="K146" s="7"/>
      <c r="L146" s="7"/>
      <c r="M146" s="7"/>
      <c r="N146" s="7"/>
      <c r="O146" s="7"/>
      <c r="P146" s="7"/>
    </row>
    <row r="147" spans="3:16" x14ac:dyDescent="0.25">
      <c r="C147" s="7"/>
      <c r="D147" s="7"/>
      <c r="E147" s="7"/>
      <c r="F147" s="7"/>
      <c r="G147" s="7"/>
      <c r="H147" s="7"/>
      <c r="I147" s="7"/>
      <c r="J147" s="7"/>
      <c r="K147" s="7"/>
      <c r="L147" s="7"/>
      <c r="M147" s="7"/>
      <c r="N147" s="7"/>
      <c r="O147" s="7"/>
      <c r="P147" s="7"/>
    </row>
    <row r="148" spans="3:16" x14ac:dyDescent="0.25">
      <c r="C148" s="7"/>
      <c r="D148" s="7"/>
      <c r="E148" s="7"/>
      <c r="F148" s="7"/>
      <c r="G148" s="7"/>
      <c r="H148" s="7"/>
      <c r="I148" s="7"/>
      <c r="J148" s="7"/>
      <c r="K148" s="7"/>
      <c r="L148" s="7"/>
      <c r="M148" s="7"/>
      <c r="N148" s="7"/>
      <c r="O148" s="7"/>
      <c r="P148" s="7"/>
    </row>
    <row r="149" spans="3:16" x14ac:dyDescent="0.25">
      <c r="C149" s="7"/>
      <c r="D149" s="7"/>
      <c r="E149" s="7"/>
      <c r="F149" s="7"/>
      <c r="G149" s="7"/>
      <c r="H149" s="7"/>
      <c r="I149" s="7"/>
      <c r="J149" s="7"/>
      <c r="K149" s="7"/>
      <c r="L149" s="7"/>
      <c r="M149" s="7"/>
      <c r="N149" s="7"/>
      <c r="O149" s="7"/>
      <c r="P149" s="7"/>
    </row>
    <row r="150" spans="3:16" x14ac:dyDescent="0.25">
      <c r="C150" s="7"/>
      <c r="D150" s="7"/>
      <c r="E150" s="7"/>
      <c r="F150" s="7"/>
      <c r="G150" s="7"/>
      <c r="H150" s="7"/>
      <c r="I150" s="7"/>
      <c r="J150" s="7"/>
      <c r="K150" s="7"/>
      <c r="L150" s="7"/>
      <c r="M150" s="7"/>
      <c r="N150" s="7"/>
      <c r="O150" s="7"/>
      <c r="P150" s="7"/>
    </row>
    <row r="151" spans="3:16" x14ac:dyDescent="0.25">
      <c r="C151" s="7"/>
      <c r="D151" s="7"/>
      <c r="E151" s="7"/>
      <c r="F151" s="7"/>
      <c r="G151" s="7"/>
      <c r="H151" s="7"/>
      <c r="I151" s="7"/>
      <c r="J151" s="7"/>
      <c r="K151" s="7"/>
      <c r="L151" s="7"/>
      <c r="M151" s="7"/>
      <c r="N151" s="7"/>
      <c r="O151" s="7"/>
      <c r="P151" s="7"/>
    </row>
    <row r="152" spans="3:16" x14ac:dyDescent="0.25">
      <c r="C152" s="7"/>
      <c r="D152" s="7"/>
      <c r="E152" s="7"/>
      <c r="F152" s="7"/>
      <c r="G152" s="7"/>
      <c r="H152" s="7"/>
      <c r="I152" s="7"/>
      <c r="J152" s="7"/>
      <c r="K152" s="7"/>
      <c r="L152" s="7"/>
      <c r="M152" s="7"/>
      <c r="N152" s="7"/>
      <c r="O152" s="7"/>
      <c r="P152" s="7"/>
    </row>
    <row r="153" spans="3:16" x14ac:dyDescent="0.25">
      <c r="C153" s="7"/>
      <c r="D153" s="7"/>
      <c r="E153" s="7"/>
      <c r="F153" s="7"/>
      <c r="G153" s="7"/>
      <c r="H153" s="7"/>
      <c r="I153" s="7"/>
      <c r="J153" s="7"/>
      <c r="K153" s="7"/>
      <c r="L153" s="7"/>
      <c r="M153" s="7"/>
      <c r="N153" s="7"/>
      <c r="O153" s="7"/>
      <c r="P153" s="7"/>
    </row>
    <row r="154" spans="3:16" x14ac:dyDescent="0.25">
      <c r="C154" s="7"/>
      <c r="D154" s="7"/>
      <c r="E154" s="7"/>
      <c r="F154" s="7"/>
      <c r="G154" s="7"/>
      <c r="H154" s="7"/>
      <c r="I154" s="7"/>
      <c r="J154" s="7"/>
      <c r="K154" s="7"/>
      <c r="L154" s="7"/>
      <c r="M154" s="7"/>
      <c r="N154" s="7"/>
      <c r="O154" s="7"/>
      <c r="P154" s="7"/>
    </row>
  </sheetData>
  <mergeCells count="27">
    <mergeCell ref="C2:C3"/>
    <mergeCell ref="D16:F16"/>
    <mergeCell ref="D5:F5"/>
    <mergeCell ref="D60:F60"/>
    <mergeCell ref="D115:F115"/>
    <mergeCell ref="D4:E4"/>
    <mergeCell ref="D82:F82"/>
    <mergeCell ref="D38:F38"/>
    <mergeCell ref="D93:F93"/>
    <mergeCell ref="D104:F104"/>
    <mergeCell ref="I1:O4"/>
    <mergeCell ref="D49:F49"/>
    <mergeCell ref="D2:E2"/>
    <mergeCell ref="D3:E3"/>
    <mergeCell ref="D27:F27"/>
    <mergeCell ref="B7:B13"/>
    <mergeCell ref="B18:B24"/>
    <mergeCell ref="B29:B35"/>
    <mergeCell ref="D71:F71"/>
    <mergeCell ref="B40:B46"/>
    <mergeCell ref="B62:B68"/>
    <mergeCell ref="B95:B101"/>
    <mergeCell ref="B51:B57"/>
    <mergeCell ref="B117:B126"/>
    <mergeCell ref="B84:B90"/>
    <mergeCell ref="B73:B79"/>
    <mergeCell ref="B106:B112"/>
  </mergeCells>
  <phoneticPr fontId="7" type="noConversion"/>
  <pageMargins left="0.511811024" right="0.511811024" top="0.78740157499999996" bottom="0.78740157499999996" header="0.31496062000000002" footer="0.31496062000000002"/>
  <pageSetup orientation="portrait" r:id="rId1"/>
  <ignoredErrors>
    <ignoredError sqref="K40 H73 K106 D119:D125" 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30C26-37A5-45AE-AA03-98DFBCEB2C78}">
  <sheetPr>
    <tabColor rgb="FF00B050"/>
  </sheetPr>
  <dimension ref="A1:BA229"/>
  <sheetViews>
    <sheetView zoomScale="120" zoomScaleNormal="120" workbookViewId="0">
      <selection activeCell="H60" sqref="H60"/>
    </sheetView>
  </sheetViews>
  <sheetFormatPr defaultRowHeight="15" x14ac:dyDescent="0.25"/>
  <cols>
    <col min="1" max="1" width="29.85546875" style="7" customWidth="1"/>
    <col min="2" max="2" width="18" customWidth="1"/>
    <col min="6" max="6" width="8.85546875" customWidth="1"/>
    <col min="8" max="8" width="8.28515625" customWidth="1"/>
    <col min="14" max="53" width="9.140625" style="7"/>
  </cols>
  <sheetData>
    <row r="1" spans="2:13" s="7" customFormat="1" ht="11.25" customHeight="1" x14ac:dyDescent="0.25"/>
    <row r="2" spans="2:13" ht="15.75" x14ac:dyDescent="0.25">
      <c r="B2" s="97" t="s">
        <v>48</v>
      </c>
      <c r="C2" s="98" t="s">
        <v>81</v>
      </c>
      <c r="D2" s="98"/>
      <c r="E2" s="99">
        <v>125</v>
      </c>
      <c r="G2" s="100" t="s">
        <v>84</v>
      </c>
      <c r="H2" s="101"/>
      <c r="I2" s="47">
        <v>5</v>
      </c>
      <c r="J2" s="7"/>
      <c r="K2" s="7"/>
      <c r="L2" s="7"/>
      <c r="M2" s="7"/>
    </row>
    <row r="3" spans="2:13" x14ac:dyDescent="0.25">
      <c r="B3" s="97"/>
      <c r="C3" s="98"/>
      <c r="D3" s="98"/>
      <c r="E3" s="99"/>
      <c r="F3" s="7"/>
      <c r="G3" s="7"/>
      <c r="H3" s="7"/>
      <c r="I3" s="7"/>
      <c r="J3" s="7"/>
      <c r="K3" s="7"/>
      <c r="L3" s="7"/>
      <c r="M3" s="7"/>
    </row>
    <row r="4" spans="2:13" ht="15" customHeight="1" x14ac:dyDescent="0.25">
      <c r="B4" s="7"/>
      <c r="C4" s="7"/>
      <c r="D4" s="7"/>
      <c r="E4" s="7"/>
      <c r="F4" s="7"/>
      <c r="G4" s="7"/>
      <c r="H4" s="7"/>
      <c r="I4" s="7"/>
      <c r="J4" s="7"/>
      <c r="K4" s="7"/>
      <c r="L4" s="7"/>
      <c r="M4" s="7"/>
    </row>
    <row r="5" spans="2:13" ht="15" customHeight="1" x14ac:dyDescent="0.25">
      <c r="B5" s="58" t="s">
        <v>82</v>
      </c>
      <c r="C5" s="57" t="s">
        <v>83</v>
      </c>
      <c r="D5" s="57" t="s">
        <v>35</v>
      </c>
      <c r="E5" s="57" t="s">
        <v>36</v>
      </c>
      <c r="F5" s="57" t="s">
        <v>37</v>
      </c>
      <c r="G5" s="57" t="s">
        <v>38</v>
      </c>
      <c r="H5" s="57" t="s">
        <v>39</v>
      </c>
      <c r="I5" s="57" t="s">
        <v>40</v>
      </c>
      <c r="J5" s="57" t="s">
        <v>41</v>
      </c>
      <c r="K5" s="57" t="s">
        <v>42</v>
      </c>
      <c r="L5" s="57" t="s">
        <v>43</v>
      </c>
      <c r="M5" s="57" t="s">
        <v>44</v>
      </c>
    </row>
    <row r="6" spans="2:13" x14ac:dyDescent="0.25">
      <c r="B6" s="26" t="s">
        <v>13</v>
      </c>
      <c r="C6" s="33">
        <f>$E$2</f>
        <v>125</v>
      </c>
      <c r="D6" s="33">
        <f t="shared" ref="D6:L6" si="0">$E$2</f>
        <v>125</v>
      </c>
      <c r="E6" s="33">
        <f t="shared" si="0"/>
        <v>125</v>
      </c>
      <c r="F6" s="33">
        <f t="shared" si="0"/>
        <v>125</v>
      </c>
      <c r="G6" s="33">
        <f t="shared" si="0"/>
        <v>125</v>
      </c>
      <c r="H6" s="33">
        <f t="shared" si="0"/>
        <v>125</v>
      </c>
      <c r="I6" s="33">
        <f t="shared" si="0"/>
        <v>125</v>
      </c>
      <c r="J6" s="33">
        <f t="shared" si="0"/>
        <v>125</v>
      </c>
      <c r="K6" s="33">
        <f t="shared" si="0"/>
        <v>125</v>
      </c>
      <c r="L6" s="33">
        <f t="shared" si="0"/>
        <v>125</v>
      </c>
      <c r="M6" s="33">
        <f>$E$2</f>
        <v>125</v>
      </c>
    </row>
    <row r="7" spans="2:13" x14ac:dyDescent="0.25">
      <c r="B7" s="26" t="s">
        <v>24</v>
      </c>
      <c r="C7" s="31"/>
      <c r="D7" s="31">
        <f>$I$2</f>
        <v>5</v>
      </c>
      <c r="E7" s="31">
        <f>IF(MROUND(($E$2*0.5),I2)=0,I2,MROUND(($E$2*0.5),I2))</f>
        <v>65</v>
      </c>
      <c r="F7" s="31">
        <f>IF(MROUND(($E$2*0.6),I2)=0,I2,MROUND(($E$2*0.6),I2))</f>
        <v>75</v>
      </c>
      <c r="G7" s="31">
        <f>IF(MROUND(($E$2*0.65),I2)=0,I2,MROUND(($E$2*0.65),I2))</f>
        <v>80</v>
      </c>
      <c r="H7" s="31">
        <f>IF(MROUND(($E$2*0.7),I2)=0,I2,MROUND(($E$2*0.7),I2))</f>
        <v>90</v>
      </c>
      <c r="I7" s="31">
        <f>IF(MROUND(($E$2*0.73),I2)=0,I2,MROUND(($E$2*0.73),I2))</f>
        <v>90</v>
      </c>
      <c r="J7" s="31">
        <f>IF(MROUND(($E$2*0.75),I2)=0,I2,MROUND(($E$2*0.75),I2))</f>
        <v>95</v>
      </c>
      <c r="K7" s="31">
        <f>IF(MROUND(($E$2*0.78),I2)=0,I2,MROUND(($E$2*0.78),I2))</f>
        <v>100</v>
      </c>
      <c r="L7" s="31">
        <f>IF(MROUND(($E$2*0.8),I2)=0,I2,MROUND(($E$2*0.8),I2))</f>
        <v>100</v>
      </c>
      <c r="M7" s="31">
        <f>IF(MROUND(($E$2*0.82),I2)=0,I2,MROUND(($E$2*0.82),I2))</f>
        <v>105</v>
      </c>
    </row>
    <row r="8" spans="2:13" x14ac:dyDescent="0.25">
      <c r="B8" s="26" t="s">
        <v>25</v>
      </c>
      <c r="C8" s="33"/>
      <c r="D8" s="33"/>
      <c r="E8" s="33">
        <f>$I$2</f>
        <v>5</v>
      </c>
      <c r="F8" s="33">
        <f>IF(MROUND(($E$2*0.25),I2)=0,I2,MROUND(($E$2*0.25),I2))</f>
        <v>30</v>
      </c>
      <c r="G8" s="33">
        <f>IF(MROUND(($E$2*0.35),I2)=0,I2,MROUND(($E$2*0.35),I2))</f>
        <v>45</v>
      </c>
      <c r="H8" s="33">
        <f>IF(MROUND(($E$2*0.45),I2)=0,I2,MROUND(($E$2*0.45),I2))</f>
        <v>55</v>
      </c>
      <c r="I8" s="33">
        <f>IF(MROUND(($E$2*0.5),I2)=0,I2,MROUND(($E$2*0.5),I2))</f>
        <v>65</v>
      </c>
      <c r="J8" s="33">
        <f>IF(MROUND(($E$2*0.58),I2)=0,I2,MROUND(($E$2*0.58),I2))</f>
        <v>75</v>
      </c>
      <c r="K8" s="33">
        <f>IF(MROUND(($E$2*0.6),I2)=0,I2,MROUND(($E$2*0.6),I2))</f>
        <v>75</v>
      </c>
      <c r="L8" s="33">
        <f>IF(MROUND(($E$2*0.62),I2)=0,I2,MROUND(($E$2*0.62),I2))</f>
        <v>80</v>
      </c>
      <c r="M8" s="33">
        <f>IF(MROUND(($E$2*0.68),I2)=0,I2,MROUND(($E$2*0.68),I2))</f>
        <v>85</v>
      </c>
    </row>
    <row r="9" spans="2:13" x14ac:dyDescent="0.25">
      <c r="B9" s="26" t="s">
        <v>26</v>
      </c>
      <c r="C9" s="31"/>
      <c r="D9" s="31"/>
      <c r="E9" s="31"/>
      <c r="F9" s="31">
        <f>$I$2</f>
        <v>5</v>
      </c>
      <c r="G9" s="31">
        <f>IF(MROUND(($E$2*0.15),I2)=0,I2,MROUND(($E$2*0.15),I2))</f>
        <v>20</v>
      </c>
      <c r="H9" s="31">
        <f>IF(MROUND(($E$2*0.25),I2)=0,I2,MROUND(($E$2*0.25),I2))</f>
        <v>30</v>
      </c>
      <c r="I9" s="31">
        <f>IF(MROUND(($E$2*0.32),I2)=0,I2,MROUND(($E$2*0.32),I2))</f>
        <v>40</v>
      </c>
      <c r="J9" s="31">
        <f>IF(MROUND(($E$2*0.4),I2)=0,I2,MROUND(($E$2*0.4),I2))</f>
        <v>50</v>
      </c>
      <c r="K9" s="31">
        <f>IF(MROUND(($E$2*0.44),I2)=0,I2,MROUND(($E$2*0.44),I2))</f>
        <v>55</v>
      </c>
      <c r="L9" s="31">
        <f>IF(MROUND(($E$2*0.45),I2)=0,I2,MROUND(($E$2*0.45),I2))</f>
        <v>55</v>
      </c>
      <c r="M9" s="31">
        <f>IF(MROUND(($E$2*0.52),I2)=0,I2,MROUND(($E$2*0.52),I2))</f>
        <v>65</v>
      </c>
    </row>
    <row r="10" spans="2:13" x14ac:dyDescent="0.25">
      <c r="B10" s="26" t="s">
        <v>27</v>
      </c>
      <c r="C10" s="33"/>
      <c r="D10" s="33"/>
      <c r="E10" s="33"/>
      <c r="F10" s="33"/>
      <c r="G10" s="33">
        <f>$I$2</f>
        <v>5</v>
      </c>
      <c r="H10" s="33">
        <f>IF(MROUND(($E$2*0.12),I2)=0,I2,MROUND(($E$2*0.12),I2))</f>
        <v>15</v>
      </c>
      <c r="I10" s="33">
        <f>IF(MROUND(($E$2*0.2),I2)=0,I2,MROUND(($E$2*0.2),I2))</f>
        <v>25</v>
      </c>
      <c r="J10" s="33">
        <f>IF(MROUND(($E$2*0.28),I2)=0,I2,MROUND(($E$2*0.28),I2))</f>
        <v>35</v>
      </c>
      <c r="K10" s="33">
        <f>IF(MROUND(($E$2*0.3),I2)=0,I2,MROUND(($E$2*0.3),I2))</f>
        <v>40</v>
      </c>
      <c r="L10" s="33">
        <f>IF(MROUND(($E$2*0.36),I2)=0,I2,MROUND(($E$2*0.36),I2))</f>
        <v>45</v>
      </c>
      <c r="M10" s="33">
        <f>IF(MROUND(($E$2*0.4),I2)=0,I2,MROUND(($E$2*0.4),I2))</f>
        <v>50</v>
      </c>
    </row>
    <row r="11" spans="2:13" x14ac:dyDescent="0.25">
      <c r="B11" s="26" t="s">
        <v>28</v>
      </c>
      <c r="C11" s="31"/>
      <c r="D11" s="31"/>
      <c r="E11" s="31"/>
      <c r="F11" s="31"/>
      <c r="G11" s="31"/>
      <c r="H11" s="31">
        <f>$I$2</f>
        <v>5</v>
      </c>
      <c r="I11" s="31">
        <f>IF(MROUND(($E$2*0.1),I2)=0,I2,MROUND(($E$2*0.1),I2))</f>
        <v>15</v>
      </c>
      <c r="J11" s="31">
        <f>IF(MROUND(($E$2*0.16),I2)=0,I2,MROUND(($E$2*0.16),I2))</f>
        <v>20</v>
      </c>
      <c r="K11" s="31">
        <f>IF(MROUND(($E$2*0.2),I2)=0,I2,MROUND(($E$2*0.2),I2))</f>
        <v>25</v>
      </c>
      <c r="L11" s="31">
        <f>IF(MROUND(($E$2*0.26),I2)=0,I2,MROUND(($E$2*0.26),I2))</f>
        <v>35</v>
      </c>
      <c r="M11" s="31">
        <f>IF(MROUND(($E$2*0.3),I2)=0,I2,MROUND(($E$2*0.3),I2))</f>
        <v>40</v>
      </c>
    </row>
    <row r="12" spans="2:13" x14ac:dyDescent="0.25">
      <c r="B12" s="26" t="s">
        <v>29</v>
      </c>
      <c r="C12" s="33"/>
      <c r="D12" s="33"/>
      <c r="E12" s="33"/>
      <c r="F12" s="33"/>
      <c r="G12" s="33"/>
      <c r="H12" s="33"/>
      <c r="I12" s="33">
        <f>$I$2</f>
        <v>5</v>
      </c>
      <c r="J12" s="33">
        <f>IF(MROUND(($E$2*0.1),I2)=0,I2,MROUND(($E$2*0.1),I2))</f>
        <v>15</v>
      </c>
      <c r="K12" s="33">
        <f>IF(MROUND(($E$2*0.12),I2)=0,I2,MROUND(($E$2*0.12),I2))</f>
        <v>15</v>
      </c>
      <c r="L12" s="33">
        <f>IF(MROUND(($E$2*0.18),I2)=0,I2,MROUND(($E$2*0.18),I2))</f>
        <v>25</v>
      </c>
      <c r="M12" s="33">
        <f>IF(MROUND(($E$2*0.22),I2)=0,I2,MROUND(($E$2*0.22),I2))</f>
        <v>30</v>
      </c>
    </row>
    <row r="13" spans="2:13" x14ac:dyDescent="0.25">
      <c r="B13" s="26" t="s">
        <v>30</v>
      </c>
      <c r="C13" s="31"/>
      <c r="D13" s="31"/>
      <c r="E13" s="31"/>
      <c r="F13" s="31"/>
      <c r="G13" s="31"/>
      <c r="H13" s="31"/>
      <c r="I13" s="31"/>
      <c r="J13" s="31">
        <f>$I$2</f>
        <v>5</v>
      </c>
      <c r="K13" s="31">
        <f>IF(MROUND(($E$2*0.05),I2)=0,I2,MROUND(($E$2*0.05),I2))</f>
        <v>5</v>
      </c>
      <c r="L13" s="31">
        <f>IF(MROUND(($E$2*0.12),I2)=0,I2,MROUND(($E$2*0.12),I2))</f>
        <v>15</v>
      </c>
      <c r="M13" s="31">
        <f>IF(MROUND(($E$2*0.16),I2)=0,I2,MROUND(($E$2*0.16),I2))</f>
        <v>20</v>
      </c>
    </row>
    <row r="14" spans="2:13" x14ac:dyDescent="0.25">
      <c r="B14" s="26" t="s">
        <v>31</v>
      </c>
      <c r="C14" s="33"/>
      <c r="D14" s="33"/>
      <c r="E14" s="33"/>
      <c r="F14" s="33"/>
      <c r="G14" s="33"/>
      <c r="H14" s="33"/>
      <c r="I14" s="33"/>
      <c r="J14" s="33"/>
      <c r="K14" s="33">
        <f>$I$2</f>
        <v>5</v>
      </c>
      <c r="L14" s="33">
        <f>IF(MROUND(($E$2*0.06),I2)=0,I2,MROUND(($E$2*0.06),I2))</f>
        <v>10</v>
      </c>
      <c r="M14" s="33">
        <f>IF(MROUND(($E$2*0.12),I2)=0,I2,MROUND(($E$2*0.12),I2))</f>
        <v>15</v>
      </c>
    </row>
    <row r="15" spans="2:13" x14ac:dyDescent="0.25">
      <c r="B15" s="26" t="s">
        <v>32</v>
      </c>
      <c r="C15" s="31"/>
      <c r="D15" s="31"/>
      <c r="E15" s="31"/>
      <c r="F15" s="31"/>
      <c r="G15" s="31"/>
      <c r="H15" s="31"/>
      <c r="I15" s="31"/>
      <c r="J15" s="31"/>
      <c r="K15" s="31"/>
      <c r="L15" s="31">
        <f>$I$2</f>
        <v>5</v>
      </c>
      <c r="M15" s="31">
        <f>IF(MROUND(($E$2*0.08),I2)=0,I2,MROUND(($E$2*0.08),I2))</f>
        <v>10</v>
      </c>
    </row>
    <row r="16" spans="2:13" x14ac:dyDescent="0.25">
      <c r="B16" s="26" t="s">
        <v>33</v>
      </c>
      <c r="C16" s="33"/>
      <c r="D16" s="33"/>
      <c r="E16" s="33"/>
      <c r="F16" s="33"/>
      <c r="G16" s="33"/>
      <c r="H16" s="33"/>
      <c r="I16" s="33"/>
      <c r="J16" s="33"/>
      <c r="K16" s="33"/>
      <c r="L16" s="33"/>
      <c r="M16" s="33">
        <f>$I$2</f>
        <v>5</v>
      </c>
    </row>
    <row r="18" spans="2:13" x14ac:dyDescent="0.25">
      <c r="B18" s="58" t="s">
        <v>85</v>
      </c>
      <c r="C18" s="57" t="s">
        <v>83</v>
      </c>
      <c r="D18" s="57" t="s">
        <v>35</v>
      </c>
      <c r="E18" s="57" t="s">
        <v>36</v>
      </c>
      <c r="F18" s="57" t="s">
        <v>37</v>
      </c>
      <c r="G18" s="57" t="s">
        <v>38</v>
      </c>
      <c r="H18" s="57" t="s">
        <v>39</v>
      </c>
      <c r="I18" s="57" t="s">
        <v>40</v>
      </c>
      <c r="J18" s="57" t="s">
        <v>41</v>
      </c>
      <c r="K18" s="57" t="s">
        <v>42</v>
      </c>
      <c r="L18" s="57" t="s">
        <v>43</v>
      </c>
      <c r="M18" s="57" t="s">
        <v>44</v>
      </c>
    </row>
    <row r="19" spans="2:13" x14ac:dyDescent="0.25">
      <c r="B19" s="26" t="s">
        <v>13</v>
      </c>
      <c r="C19" s="33">
        <f>IF(MROUND(($E$2*0.8),I2)=0,I2,MROUND(($E$2*0.8),I2))</f>
        <v>100</v>
      </c>
      <c r="D19" s="33">
        <f>IF(MROUND(($E$2*0.8),I2)=0,I2,MROUND(($E$2*0.8),I2))</f>
        <v>100</v>
      </c>
      <c r="E19" s="33">
        <f>IF(MROUND(($E$2*0.8),I2)=0,I2,MROUND(($E$2*0.8),I2))</f>
        <v>100</v>
      </c>
      <c r="F19" s="33">
        <f>IF(MROUND(($E$2*0.8),I2)=0,I2,MROUND(($E$2*0.8),I2))</f>
        <v>100</v>
      </c>
      <c r="G19" s="33">
        <f>IF(MROUND(($E$2*0.8),I2)=0,I2,MROUND(($E$2*0.8),I2))</f>
        <v>100</v>
      </c>
      <c r="H19" s="33">
        <f>IF(MROUND(($E$2*0.8),I2)=0,I2,MROUND(($E$2*0.8),I2))</f>
        <v>100</v>
      </c>
      <c r="I19" s="33">
        <f>IF(MROUND(($E$2*0.8),I2)=0,I2,MROUND(($E$2*0.8),I2))</f>
        <v>100</v>
      </c>
      <c r="J19" s="33">
        <f>IF(MROUND(($E$2*0.8),I2)=0,I2,MROUND(($E$2*0.8),I2))</f>
        <v>100</v>
      </c>
      <c r="K19" s="33">
        <f>IF(MROUND(($E$2*0.8),I2)=0,I2,MROUND(($E$2*0.8),I2))</f>
        <v>100</v>
      </c>
      <c r="L19" s="33">
        <f>IF(MROUND(($E$2*0.8),I2)=0,I2,MROUND(($E$2*0.8),I2))</f>
        <v>100</v>
      </c>
      <c r="M19" s="33">
        <f>IF(MROUND(($E$2*0.8),I2)=0,I2,MROUND(($E$2*0.8),I2))</f>
        <v>100</v>
      </c>
    </row>
    <row r="20" spans="2:13" x14ac:dyDescent="0.25">
      <c r="B20" s="26" t="s">
        <v>24</v>
      </c>
      <c r="C20" s="31"/>
      <c r="D20" s="31">
        <f>$I$2</f>
        <v>5</v>
      </c>
      <c r="E20" s="31">
        <f>IF(MROUND(($E$2*0.4),I2)=0,I2,MROUND(($E$2*0.4),I2))</f>
        <v>50</v>
      </c>
      <c r="F20" s="31">
        <f>IF(MROUND(($E$2*0.47),I2)=0,I2,MROUND(($E$2*0.47),I2))</f>
        <v>60</v>
      </c>
      <c r="G20" s="31">
        <f>IF(MROUND(($E$2*0.55),I2)=0,I2,MROUND(($E$2*0.55),I2))</f>
        <v>70</v>
      </c>
      <c r="H20" s="31">
        <f>IF(MROUND(($E$2*0.6),I2)=0,I2,MROUND(($E$2*0.6),I2))</f>
        <v>75</v>
      </c>
      <c r="I20" s="31">
        <f>IF(MROUND(($E$2*0.62),I2)=0,I2,MROUND(($E$2*0.62),I2))</f>
        <v>80</v>
      </c>
      <c r="J20" s="31">
        <f>IF(MROUND(($E$2*0.62),I2)=0,I2,MROUND(($E$2*0.62),I2))</f>
        <v>80</v>
      </c>
      <c r="K20" s="31">
        <f>IF(MROUND(($E$2*0.65),I2)=0,I2,MROUND(($E$2*0.65),I2))</f>
        <v>80</v>
      </c>
      <c r="L20" s="31">
        <f>IF(MROUND(($E$2*0.65),I2)=0,I2,MROUND(($E$2*0.65),I2))</f>
        <v>80</v>
      </c>
      <c r="M20" s="31">
        <f>IF(MROUND(($E$2*0.65),I2)=0,I2,MROUND(($E$2*0.65),I2))</f>
        <v>80</v>
      </c>
    </row>
    <row r="21" spans="2:13" x14ac:dyDescent="0.25">
      <c r="B21" s="26" t="s">
        <v>25</v>
      </c>
      <c r="C21" s="33"/>
      <c r="D21" s="33"/>
      <c r="E21" s="33">
        <f>$I$2</f>
        <v>5</v>
      </c>
      <c r="F21" s="33">
        <f>IF(MROUND(($E$2*0.2),I2)=0,I2,MROUND(($E$2*0.2),I2))</f>
        <v>25</v>
      </c>
      <c r="G21" s="33">
        <f>IF(MROUND(($E$2*0.33),I2)=0,I2,MROUND(($E$2*0.33),I2))</f>
        <v>40</v>
      </c>
      <c r="H21" s="33">
        <f>IF(MROUND(($E$2*0.37),I2)=0,I2,MROUND(($E$2*0.37),I2))</f>
        <v>45</v>
      </c>
      <c r="I21" s="33">
        <f>IF(MROUND(($E$2*0.45),I2)=0,I2,MROUND(($E$2*0.45),I2))</f>
        <v>55</v>
      </c>
      <c r="J21" s="33">
        <f>IF(MROUND(($E$2*0.5),I2)=0,I2,MROUND(($E$2*0.5),I2))</f>
        <v>65</v>
      </c>
      <c r="K21" s="33">
        <f>IF(MROUND(($E$2*0.55),I2)=0,I2,MROUND(($E$2*0.55),I2))</f>
        <v>70</v>
      </c>
      <c r="L21" s="33">
        <f>IF(MROUND(($E$2*0.55),I2)=0,I2,MROUND(($E$2*0.55),I2))</f>
        <v>70</v>
      </c>
      <c r="M21" s="33">
        <f>IF(MROUND(($E$2*0.56),I2)=0,I2,MROUND(($E$2*0.56),I2))</f>
        <v>70</v>
      </c>
    </row>
    <row r="22" spans="2:13" x14ac:dyDescent="0.25">
      <c r="B22" s="26" t="s">
        <v>26</v>
      </c>
      <c r="C22" s="31"/>
      <c r="D22" s="31"/>
      <c r="E22" s="31"/>
      <c r="F22" s="31">
        <f>$I$2</f>
        <v>5</v>
      </c>
      <c r="G22" s="31">
        <f>IF(MROUND(($E$2*0.15),I2)=0,I2,MROUND(($E$2*0.15),I2))</f>
        <v>20</v>
      </c>
      <c r="H22" s="31">
        <f>IF(MROUND(($E$2*0.22),I2)=0,I2,MROUND(($E$2*0.22),I2))</f>
        <v>30</v>
      </c>
      <c r="I22" s="31">
        <f>IF(MROUND(($E$2*0.3),I2)=0,I2,MROUND(($E$2*0.3),I2))</f>
        <v>40</v>
      </c>
      <c r="J22" s="31">
        <f>IF(MROUND(($E$2*0.36),I2)=0,I2,MROUND(($E$2*0.36),I2))</f>
        <v>45</v>
      </c>
      <c r="K22" s="31">
        <f>IF(MROUND(($E$2*0.4),I2)=0,I2,MROUND(($E$2*0.4),I2))</f>
        <v>50</v>
      </c>
      <c r="L22" s="31">
        <f>IF(MROUND(($E$2*0.45),I2)=0,I2,MROUND(($E$2*0.45),I2))</f>
        <v>55</v>
      </c>
      <c r="M22" s="31">
        <f>IF(MROUND(($E$2*0.46),I2)=0,I2,MROUND(($E$2*0.46),I2))</f>
        <v>60</v>
      </c>
    </row>
    <row r="23" spans="2:13" x14ac:dyDescent="0.25">
      <c r="B23" s="26" t="s">
        <v>27</v>
      </c>
      <c r="C23" s="33"/>
      <c r="D23" s="33"/>
      <c r="E23" s="33"/>
      <c r="F23" s="33"/>
      <c r="G23" s="33">
        <f>$I$2</f>
        <v>5</v>
      </c>
      <c r="H23" s="33">
        <f>IF(MROUND(($E$2*0.1),I2)=0,I2,MROUND(($E$2*0.1),I2))</f>
        <v>15</v>
      </c>
      <c r="I23" s="33">
        <f>IF(MROUND(($E$2*0.18),I2)=0,I2,MROUND(($E$2*0.18),I2))</f>
        <v>25</v>
      </c>
      <c r="J23" s="33">
        <f>IF(MROUND(($E$2*0.26),I2)=0,I2,MROUND(($E$2*0.26),I2))</f>
        <v>35</v>
      </c>
      <c r="K23" s="33">
        <f>IF(MROUND(($E$2*0.3),I2)=0,I2,MROUND(($E$2*0.3),I2))</f>
        <v>40</v>
      </c>
      <c r="L23" s="33">
        <f>IF(MROUND(($E$2*0.32),I2)=0,I2,MROUND(($E$2*0.32),I2))</f>
        <v>40</v>
      </c>
      <c r="M23" s="33">
        <f>IF(MROUND(($E$2*0.38),I2)=0,I2,MROUND(($E$2*0.38),I2))</f>
        <v>50</v>
      </c>
    </row>
    <row r="24" spans="2:13" x14ac:dyDescent="0.25">
      <c r="B24" s="26" t="s">
        <v>28</v>
      </c>
      <c r="C24" s="31"/>
      <c r="D24" s="31"/>
      <c r="E24" s="31"/>
      <c r="F24" s="31"/>
      <c r="G24" s="31"/>
      <c r="H24" s="31">
        <f>$I$2</f>
        <v>5</v>
      </c>
      <c r="I24" s="31">
        <f>IF(MROUND(($E$2*0.1),I2)=0,I2,MROUND(($E$2*0.1),I2))</f>
        <v>15</v>
      </c>
      <c r="J24" s="31">
        <f>IF(MROUND(($E$2*0.16),I2)=0,I2,MROUND(($E$2*0.16),I2))</f>
        <v>20</v>
      </c>
      <c r="K24" s="31">
        <f>IF(MROUND(($E$2*0.2),I2)=0,I2,MROUND(($E$2*0.2),I2))</f>
        <v>25</v>
      </c>
      <c r="L24" s="31">
        <f>IF(MROUND(($E$2*0.27),I2)=0,I2,MROUND(($E$2*0.27),I2))</f>
        <v>35</v>
      </c>
      <c r="M24" s="31">
        <f>IF(MROUND(($E$2*0.3),I2)=0,I2,MROUND(($E$2*0.3),I2))</f>
        <v>40</v>
      </c>
    </row>
    <row r="25" spans="2:13" x14ac:dyDescent="0.25">
      <c r="B25" s="26" t="s">
        <v>29</v>
      </c>
      <c r="C25" s="33"/>
      <c r="D25" s="33"/>
      <c r="E25" s="33"/>
      <c r="F25" s="33"/>
      <c r="G25" s="33"/>
      <c r="H25" s="33"/>
      <c r="I25" s="33">
        <f>$I$2</f>
        <v>5</v>
      </c>
      <c r="J25" s="33">
        <f>IF(MROUND(($E$2*0.08),I2)=0,I2,MROUND(($E$2*0.08),I2))</f>
        <v>10</v>
      </c>
      <c r="K25" s="33">
        <f>IF(MROUND(($E$2*0.12),I2)=0,I2,MROUND(($E$2*0.12),I2))</f>
        <v>15</v>
      </c>
      <c r="L25" s="33">
        <f>IF(MROUND(($E$2*0.18),I2)=0,I2,MROUND(($E$2*0.18),I2))</f>
        <v>25</v>
      </c>
      <c r="M25" s="33">
        <f>IF(MROUND(($E$2*0.22),I2)=0,I2,MROUND(($E$2*0.22),I2))</f>
        <v>30</v>
      </c>
    </row>
    <row r="26" spans="2:13" x14ac:dyDescent="0.25">
      <c r="B26" s="26" t="s">
        <v>30</v>
      </c>
      <c r="C26" s="31"/>
      <c r="D26" s="31"/>
      <c r="E26" s="31"/>
      <c r="F26" s="31"/>
      <c r="G26" s="31"/>
      <c r="H26" s="31"/>
      <c r="I26" s="31"/>
      <c r="J26" s="31">
        <f>$I$2</f>
        <v>5</v>
      </c>
      <c r="K26" s="31">
        <f>IF(MROUND(($E$2*0.08),I2)=0,I2,MROUND(($E$2*0.08),I2))</f>
        <v>10</v>
      </c>
      <c r="L26" s="31">
        <f>IF(MROUND(($E$2*0.13),I2)=0,I2,MROUND(($E$2*0.13),I2))</f>
        <v>15</v>
      </c>
      <c r="M26" s="31">
        <f>IF(MROUND(($E$2*0.18),I2)=0,I2,MROUND(($E$2*0.18),I2))</f>
        <v>25</v>
      </c>
    </row>
    <row r="27" spans="2:13" x14ac:dyDescent="0.25">
      <c r="B27" s="26" t="s">
        <v>31</v>
      </c>
      <c r="C27" s="33"/>
      <c r="D27" s="33"/>
      <c r="E27" s="33"/>
      <c r="F27" s="33"/>
      <c r="G27" s="33"/>
      <c r="H27" s="33"/>
      <c r="I27" s="33"/>
      <c r="J27" s="33"/>
      <c r="K27" s="33">
        <f>$I$2</f>
        <v>5</v>
      </c>
      <c r="L27" s="33">
        <f>IF(MROUND(($E$2*0.08),I2)=0,I2,MROUND(($E$2*0.08),I2))</f>
        <v>10</v>
      </c>
      <c r="M27" s="33">
        <f>IF(MROUND(($E$2*0.14),I2)=0,I2,MROUND(($E$2*0.14),I2))</f>
        <v>20</v>
      </c>
    </row>
    <row r="28" spans="2:13" x14ac:dyDescent="0.25">
      <c r="B28" s="26" t="s">
        <v>32</v>
      </c>
      <c r="C28" s="31"/>
      <c r="D28" s="31"/>
      <c r="E28" s="31"/>
      <c r="F28" s="31"/>
      <c r="G28" s="31"/>
      <c r="H28" s="31"/>
      <c r="I28" s="31"/>
      <c r="J28" s="31"/>
      <c r="K28" s="31"/>
      <c r="L28" s="31">
        <f>$I$2</f>
        <v>5</v>
      </c>
      <c r="M28" s="31">
        <f>IF(MROUND(($E$2*0.07),I2)=0,I2,MROUND(($E$2*0.07),I2))</f>
        <v>10</v>
      </c>
    </row>
    <row r="29" spans="2:13" x14ac:dyDescent="0.25">
      <c r="B29" s="26" t="s">
        <v>33</v>
      </c>
      <c r="C29" s="36"/>
      <c r="D29" s="36"/>
      <c r="E29" s="36"/>
      <c r="F29" s="36"/>
      <c r="G29" s="36"/>
      <c r="H29" s="36"/>
      <c r="I29" s="36"/>
      <c r="J29" s="36"/>
      <c r="K29" s="36"/>
      <c r="L29" s="36"/>
      <c r="M29" s="33">
        <f>$I$2</f>
        <v>5</v>
      </c>
    </row>
    <row r="31" spans="2:13" x14ac:dyDescent="0.25">
      <c r="B31" s="58" t="s">
        <v>86</v>
      </c>
      <c r="C31" s="57" t="s">
        <v>83</v>
      </c>
      <c r="D31" s="57" t="s">
        <v>35</v>
      </c>
      <c r="E31" s="57" t="s">
        <v>36</v>
      </c>
      <c r="F31" s="57" t="s">
        <v>37</v>
      </c>
      <c r="G31" s="57" t="s">
        <v>38</v>
      </c>
      <c r="H31" s="57" t="s">
        <v>39</v>
      </c>
      <c r="I31" s="57" t="s">
        <v>40</v>
      </c>
      <c r="J31" s="57" t="s">
        <v>41</v>
      </c>
      <c r="K31" s="57" t="s">
        <v>42</v>
      </c>
      <c r="L31" s="57" t="s">
        <v>43</v>
      </c>
      <c r="M31" s="57" t="s">
        <v>44</v>
      </c>
    </row>
    <row r="32" spans="2:13" x14ac:dyDescent="0.25">
      <c r="B32" s="26" t="s">
        <v>13</v>
      </c>
      <c r="C32" s="33">
        <f>IF(MROUND(($E$2*0.6),I2)=0,I2,MROUND(($E$2*0.6),I2))</f>
        <v>75</v>
      </c>
      <c r="D32" s="33">
        <f>IF(MROUND(($E$2*0.6),I2)=0,I2,MROUND(($E$2*0.6),I2))</f>
        <v>75</v>
      </c>
      <c r="E32" s="33">
        <f>IF(MROUND(($E$2*0.6),I2)=0,I2,MROUND(($E$2*0.6),I2))</f>
        <v>75</v>
      </c>
      <c r="F32" s="33">
        <f>IF(MROUND(($E$2*0.6),I2)=0,I2,MROUND(($E$2*0.6),I2))</f>
        <v>75</v>
      </c>
      <c r="G32" s="33">
        <f>IF(MROUND(($E$2*0.6),I2)=0,I2,MROUND(($E$2*0.6),I2))</f>
        <v>75</v>
      </c>
      <c r="H32" s="33">
        <f>IF(MROUND(($E$2*0.6),I2)=0,I2,MROUND(($E$2*0.6),I2))</f>
        <v>75</v>
      </c>
      <c r="I32" s="33">
        <f>IF(MROUND(($E$2*0.6),I2)=0,I2,MROUND(($E$2*0.6),I2))</f>
        <v>75</v>
      </c>
      <c r="J32" s="33">
        <f>IF(MROUND(($E$2*0.6),I2)=0,I2,MROUND(($E$2*0.6),I2))</f>
        <v>75</v>
      </c>
      <c r="K32" s="33">
        <f>IF(MROUND(($E$2*0.6),I2)=0,I2,MROUND(($E$2*0.6),I2))</f>
        <v>75</v>
      </c>
      <c r="L32" s="33">
        <f>IF(MROUND(($E$2*0.6),I2)=0,I2,MROUND(($E$2*0.6),I2))</f>
        <v>75</v>
      </c>
      <c r="M32" s="33">
        <f>IF(MROUND(($E$2*0.6),I2)=0,I2,MROUND(($E$2*0.6),I2))</f>
        <v>75</v>
      </c>
    </row>
    <row r="33" spans="2:13" x14ac:dyDescent="0.25">
      <c r="B33" s="26" t="s">
        <v>24</v>
      </c>
      <c r="C33" s="31"/>
      <c r="D33" s="31">
        <f>$I$2</f>
        <v>5</v>
      </c>
      <c r="E33" s="31">
        <f>IF(MROUND(($E$2*0.3),I2)=0,I2,MROUND(($E$2*0.3),I2))</f>
        <v>40</v>
      </c>
      <c r="F33" s="31">
        <f>IF(MROUND(($E$2*0.35),I2)=0,I2,MROUND(($E$2*0.35),I2))</f>
        <v>45</v>
      </c>
      <c r="G33" s="31">
        <f>IF(MROUND(($E$2*0.4),I2)=0,I2,MROUND(($E$2*0.4),I2))</f>
        <v>50</v>
      </c>
      <c r="H33" s="31">
        <f>IF(MROUND(($E$2*0.43),I2)=0,I2,MROUND(($E$2*0.43),I2))</f>
        <v>55</v>
      </c>
      <c r="I33" s="31">
        <f>IF(MROUND(($E$2*0.45),I2)=0,I2,MROUND(($E$2*0.45),I2))</f>
        <v>55</v>
      </c>
      <c r="J33" s="31">
        <f>IF(MROUND(($E$2*0.45),I2)=0,I2,MROUND(($E$2*0.45),I2))</f>
        <v>55</v>
      </c>
      <c r="K33" s="31">
        <f>IF(MROUND(($E$2*0.5),I2)=0,I2,MROUND(($E$2*0.5),I2))</f>
        <v>65</v>
      </c>
      <c r="L33" s="31">
        <f>IF(MROUND(($E$2*0.51),I2)=0,I2,MROUND(($E$2*0.51),I2))</f>
        <v>65</v>
      </c>
      <c r="M33" s="31">
        <f>IF(MROUND(($E$2*0.53),I2)=0,I2,MROUND(($E$2*0.53),I2))</f>
        <v>65</v>
      </c>
    </row>
    <row r="34" spans="2:13" x14ac:dyDescent="0.25">
      <c r="B34" s="26" t="s">
        <v>25</v>
      </c>
      <c r="C34" s="33"/>
      <c r="D34" s="33"/>
      <c r="E34" s="33">
        <f>$I$2</f>
        <v>5</v>
      </c>
      <c r="F34" s="33">
        <f>IF(MROUND(($E$2*0.15),I2)=0,I2,MROUND(($E$2*0.15),I2))</f>
        <v>20</v>
      </c>
      <c r="G34" s="33">
        <f>IF(MROUND(($E$2*0.25),I2)=0,I2,MROUND(($E$2*0.25),I2))</f>
        <v>30</v>
      </c>
      <c r="H34" s="33">
        <f>IF(MROUND(($E$2*0.3),I2)=0,I2,MROUND(($E$2*0.3),I2))</f>
        <v>40</v>
      </c>
      <c r="I34" s="33">
        <f>IF(MROUND(($E$2*0.33),I2)=0,I2,MROUND(($E$2*0.33),I2))</f>
        <v>40</v>
      </c>
      <c r="J34" s="33">
        <f>IF(MROUND(($E$2*0.38),I2)=0,I2,MROUND(($E$2*0.38),I2))</f>
        <v>50</v>
      </c>
      <c r="K34" s="33">
        <f>IF(MROUND(($E$2*0.4),I2)=0,I2,MROUND(($E$2*0.4),I2))</f>
        <v>50</v>
      </c>
      <c r="L34" s="33">
        <f>IF(MROUND(($E$2*0.41),I2)=0,I2,MROUND(($E$2*0.41),I2))</f>
        <v>50</v>
      </c>
      <c r="M34" s="33">
        <f>IF(MROUND(($E$2*0.42),I2)=0,I2,MROUND(($E$2*0.42),I2))</f>
        <v>55</v>
      </c>
    </row>
    <row r="35" spans="2:13" x14ac:dyDescent="0.25">
      <c r="B35" s="26" t="s">
        <v>26</v>
      </c>
      <c r="C35" s="31"/>
      <c r="D35" s="31"/>
      <c r="E35" s="31"/>
      <c r="F35" s="31">
        <f>$I$2</f>
        <v>5</v>
      </c>
      <c r="G35" s="31">
        <f>IF(MROUND(($E$2*0.12),I2)=0,I2,MROUND(($E$2*0.12),I2))</f>
        <v>15</v>
      </c>
      <c r="H35" s="31">
        <f>IF(MROUND(($E$2*0.18),I2)=0,I2,MROUND(($E$2*0.18),I2))</f>
        <v>25</v>
      </c>
      <c r="I35" s="31">
        <f>IF(MROUND(($E$2*0.22),I2)=0,I2,MROUND(($E$2*0.22),I2))</f>
        <v>30</v>
      </c>
      <c r="J35" s="31">
        <f>IF(MROUND(($E$2*0.28),I2)=0,I2,MROUND(($E$2*0.28),I2))</f>
        <v>35</v>
      </c>
      <c r="K35" s="31">
        <f>IF(MROUND(($E$2*0.3),I2)=0,I2,MROUND(($E$2*0.3),I2))</f>
        <v>40</v>
      </c>
      <c r="L35" s="31">
        <f>IF(MROUND(($E$2*0.32),I2)=0,I2,MROUND(($E$2*0.32),I2))</f>
        <v>40</v>
      </c>
      <c r="M35" s="31">
        <f>IF(MROUND(($E$2*0.33),I2)=0,I2,MROUND(($E$2*0.33),I2))</f>
        <v>40</v>
      </c>
    </row>
    <row r="36" spans="2:13" x14ac:dyDescent="0.25">
      <c r="B36" s="26" t="s">
        <v>27</v>
      </c>
      <c r="C36" s="33"/>
      <c r="D36" s="33"/>
      <c r="E36" s="33"/>
      <c r="F36" s="33"/>
      <c r="G36" s="33">
        <f>$I$2</f>
        <v>5</v>
      </c>
      <c r="H36" s="33">
        <f>IF(MROUND(($E$2*0.1),I2)=0,I2,MROUND(($E$2*0.1),I2))</f>
        <v>15</v>
      </c>
      <c r="I36" s="33">
        <f>IF(MROUND(($E$2*0.13),I2)=0,I2,MROUND(($E$2*0.13),I2))</f>
        <v>15</v>
      </c>
      <c r="J36" s="33">
        <f>IF(MROUND(($E$2*0.15),I2)=0,I2,MROUND(($E$2*0.15),I2))</f>
        <v>20</v>
      </c>
      <c r="K36" s="33">
        <f>IF(MROUND(($E$2*0.2),I2)=0,I2,MROUND(($E$2*0.2),I2))</f>
        <v>25</v>
      </c>
      <c r="L36" s="33">
        <f>IF(MROUND(($E$2*0.24),I2)=0,I2,MROUND(($E$2*0.24),I2))</f>
        <v>30</v>
      </c>
      <c r="M36" s="33">
        <f>IF(MROUND(($E$2*0.25),I2)=0,I2,MROUND(($E$2*0.25),I2))</f>
        <v>30</v>
      </c>
    </row>
    <row r="37" spans="2:13" x14ac:dyDescent="0.25">
      <c r="B37" s="26" t="s">
        <v>28</v>
      </c>
      <c r="C37" s="31"/>
      <c r="D37" s="31"/>
      <c r="E37" s="31"/>
      <c r="F37" s="31"/>
      <c r="G37" s="31"/>
      <c r="H37" s="31">
        <f>$I$2</f>
        <v>5</v>
      </c>
      <c r="I37" s="31">
        <f>IF(MROUND(($E$2*0.08),I2)=0,I2,MROUND(($E$2*0.08),I2))</f>
        <v>10</v>
      </c>
      <c r="J37" s="31">
        <f>IF(MROUND(($E$2*0.1),I2)=0,I2,MROUND(($E$2*0.1),I2))</f>
        <v>15</v>
      </c>
      <c r="K37" s="31">
        <f>IF(MROUND(($E$2*0.12),I2)=0,I2,MROUND(($E$2*0.12),I2))</f>
        <v>15</v>
      </c>
      <c r="L37" s="31">
        <f>IF(MROUND(($E$2*0.18),I2)=0,I2,MROUND(($E$2*0.18),I2))</f>
        <v>25</v>
      </c>
      <c r="M37" s="31">
        <f>IF(MROUND(($E$2*0.19),I2)=0,I2,MROUND(($E$2*0.19),I2))</f>
        <v>25</v>
      </c>
    </row>
    <row r="38" spans="2:13" x14ac:dyDescent="0.25">
      <c r="B38" s="26" t="s">
        <v>29</v>
      </c>
      <c r="C38" s="33"/>
      <c r="D38" s="33"/>
      <c r="E38" s="33"/>
      <c r="F38" s="33"/>
      <c r="G38" s="33"/>
      <c r="H38" s="33"/>
      <c r="I38" s="33">
        <f>$I$2</f>
        <v>5</v>
      </c>
      <c r="J38" s="33">
        <f>IF(MROUND(($E$2*0.08),I2)=0,I2,MROUND(($E$2*0.08),I2))</f>
        <v>10</v>
      </c>
      <c r="K38" s="33">
        <f>IF(MROUND(($E$2*0.1),I2)=0,I2,MROUND(($E$2*0.1),I2))</f>
        <v>15</v>
      </c>
      <c r="L38" s="33">
        <f>IF(MROUND(($E$2*0.12),I2)=0,I2,MROUND(($E$2*0.12),I2))</f>
        <v>15</v>
      </c>
      <c r="M38" s="33">
        <f>IF(MROUND(($E$2*0.15),I2)=0,I2,MROUND(($E$2*0.15),I2))</f>
        <v>20</v>
      </c>
    </row>
    <row r="39" spans="2:13" x14ac:dyDescent="0.25">
      <c r="B39" s="26" t="s">
        <v>30</v>
      </c>
      <c r="C39" s="31"/>
      <c r="D39" s="31"/>
      <c r="E39" s="31"/>
      <c r="F39" s="31"/>
      <c r="G39" s="31"/>
      <c r="H39" s="31"/>
      <c r="I39" s="31"/>
      <c r="J39" s="31">
        <f>$I$2</f>
        <v>5</v>
      </c>
      <c r="K39" s="31">
        <f>IF(MROUND(($E$2*0.08),I2)=0,I2,MROUND(($E$2*0.08),I2))</f>
        <v>10</v>
      </c>
      <c r="L39" s="31">
        <f>IF(MROUND(($E$2*0.1),I2)=0,I2,MROUND(($E$2*0.1),I2))</f>
        <v>15</v>
      </c>
      <c r="M39" s="31">
        <f>IF(MROUND(($E$2*0.12),I2)=0,I2,MROUND(($E$2*0.12),I2))</f>
        <v>15</v>
      </c>
    </row>
    <row r="40" spans="2:13" x14ac:dyDescent="0.25">
      <c r="B40" s="26" t="s">
        <v>31</v>
      </c>
      <c r="C40" s="33"/>
      <c r="D40" s="33"/>
      <c r="E40" s="33"/>
      <c r="F40" s="33"/>
      <c r="G40" s="33"/>
      <c r="H40" s="33"/>
      <c r="I40" s="33"/>
      <c r="J40" s="33"/>
      <c r="K40" s="33">
        <f>$I$2</f>
        <v>5</v>
      </c>
      <c r="L40" s="33">
        <f>IF(MROUND(($E$2*0.08),I2)=0,I2,MROUND(($E$2*0.08),I2))</f>
        <v>10</v>
      </c>
      <c r="M40" s="33">
        <f>IF(MROUND(($E$2*0.1),I2)=0,I2,MROUND(($E$2*0.1),I2))</f>
        <v>15</v>
      </c>
    </row>
    <row r="41" spans="2:13" x14ac:dyDescent="0.25">
      <c r="B41" s="26" t="s">
        <v>32</v>
      </c>
      <c r="C41" s="31"/>
      <c r="D41" s="31"/>
      <c r="E41" s="31"/>
      <c r="F41" s="31"/>
      <c r="G41" s="31"/>
      <c r="H41" s="31"/>
      <c r="I41" s="31"/>
      <c r="J41" s="31"/>
      <c r="K41" s="31"/>
      <c r="L41" s="31">
        <f>$I$2</f>
        <v>5</v>
      </c>
      <c r="M41" s="31">
        <f>IF(MROUND(($E$2*0.08),I2)=0,I2,MROUND(($E$2*0.08),I2))</f>
        <v>10</v>
      </c>
    </row>
    <row r="42" spans="2:13" x14ac:dyDescent="0.25">
      <c r="B42" s="26" t="s">
        <v>33</v>
      </c>
      <c r="C42" s="33"/>
      <c r="D42" s="33"/>
      <c r="E42" s="33"/>
      <c r="F42" s="33"/>
      <c r="G42" s="33"/>
      <c r="H42" s="33"/>
      <c r="I42" s="33"/>
      <c r="J42" s="33"/>
      <c r="K42" s="33"/>
      <c r="L42" s="33"/>
      <c r="M42" s="33">
        <f>$I$2</f>
        <v>5</v>
      </c>
    </row>
    <row r="43" spans="2:13" s="7" customFormat="1" x14ac:dyDescent="0.25"/>
    <row r="44" spans="2:13" x14ac:dyDescent="0.25">
      <c r="B44" s="58" t="s">
        <v>87</v>
      </c>
      <c r="C44" s="57" t="s">
        <v>83</v>
      </c>
      <c r="D44" s="57" t="s">
        <v>35</v>
      </c>
      <c r="E44" s="57" t="s">
        <v>36</v>
      </c>
      <c r="F44" s="57" t="s">
        <v>37</v>
      </c>
      <c r="G44" s="57" t="s">
        <v>38</v>
      </c>
      <c r="H44" s="57" t="s">
        <v>39</v>
      </c>
      <c r="I44" s="57" t="s">
        <v>40</v>
      </c>
      <c r="J44" s="57" t="s">
        <v>41</v>
      </c>
      <c r="K44" s="57" t="s">
        <v>42</v>
      </c>
      <c r="L44" s="57" t="s">
        <v>43</v>
      </c>
      <c r="M44" s="57" t="s">
        <v>44</v>
      </c>
    </row>
    <row r="45" spans="2:13" x14ac:dyDescent="0.25">
      <c r="B45" s="26" t="s">
        <v>13</v>
      </c>
      <c r="C45" s="33">
        <f>IF(MROUND(($E$2*0.4),I2)=0,I2,MROUND(($E$2*0.4),I2))</f>
        <v>50</v>
      </c>
      <c r="D45" s="33">
        <f>IF(MROUND(($E$2*0.4),I2)=0,I2,MROUND(($E$2*0.4),I2))</f>
        <v>50</v>
      </c>
      <c r="E45" s="33">
        <f>IF(MROUND(($E$2*0.4),I2)=0,I2,MROUND(($E$2*0.4),I2))</f>
        <v>50</v>
      </c>
      <c r="F45" s="33">
        <f>IF(MROUND(($E$2*0.4),I2)=0,I2,MROUND(($E$2*0.4),I2))</f>
        <v>50</v>
      </c>
      <c r="G45" s="33">
        <f>IF(MROUND(($E$2*0.4),I2)=0,I2,MROUND(($E$2*0.4),I2))</f>
        <v>50</v>
      </c>
      <c r="H45" s="33">
        <f>IF(MROUND(($E$2*0.4),I2)=0,I2,MROUND(($E$2*0.4),I2))</f>
        <v>50</v>
      </c>
      <c r="I45" s="33">
        <f>IF(MROUND(($E$2*0.4),I2)=0,I2,MROUND(($E$2*0.4),I2))</f>
        <v>50</v>
      </c>
      <c r="J45" s="33">
        <f>IF(MROUND(($E$2*0.4),I2)=0,I2,MROUND(($E$2*0.4),I2))</f>
        <v>50</v>
      </c>
      <c r="K45" s="33">
        <f>IF(MROUND(($E$2*0.4),I2)=0,I2,MROUND(($E$2*0.4),I2))</f>
        <v>50</v>
      </c>
      <c r="L45" s="33">
        <f>IF(MROUND(($E$2*0.4),I2)=0,I2,MROUND(($E$2*0.4),I2))</f>
        <v>50</v>
      </c>
      <c r="M45" s="33">
        <f>IF(MROUND(($E$2*0.4),I2)=0,I2,MROUND(($E$2*0.4),I2))</f>
        <v>50</v>
      </c>
    </row>
    <row r="46" spans="2:13" x14ac:dyDescent="0.25">
      <c r="B46" s="26" t="s">
        <v>24</v>
      </c>
      <c r="C46" s="31"/>
      <c r="D46" s="31">
        <f>$I$2</f>
        <v>5</v>
      </c>
      <c r="E46" s="31">
        <f>IF(MROUND(($E$2*0.2),I2)=0,I2,MROUND(($E$2*0.2),I2))</f>
        <v>25</v>
      </c>
      <c r="F46" s="31">
        <f>IF(MROUND(($E$2*0.2),I2)=0,I2,MROUND(($E$2*0.2),I2))</f>
        <v>25</v>
      </c>
      <c r="G46" s="31">
        <f>IF(MROUND(($E$2*0.26),I2)=0,I2,MROUND(($E$2*0.26),I2))</f>
        <v>35</v>
      </c>
      <c r="H46" s="31">
        <f>IF(MROUND(($E$2*0.3),I2)=0,I2,MROUND(($E$2*0.3),I2))</f>
        <v>40</v>
      </c>
      <c r="I46" s="31">
        <f>IF(MROUND(($E$2*0.3),I2)=0,I2,MROUND(($E$2*0.3),I2))</f>
        <v>40</v>
      </c>
      <c r="J46" s="31">
        <f>IF(MROUND(($E$2*0.3),I2)=0,I2,MROUND(($E$2*0.3),I2))</f>
        <v>40</v>
      </c>
      <c r="K46" s="31">
        <f>IF(MROUND(($E$2*0.33),I2)=0,I2,MROUND(($E$2*0.33),I2))</f>
        <v>40</v>
      </c>
      <c r="L46" s="31">
        <f>IF(MROUND(($E$2*0.34),I2)=0,I2,MROUND(($E$2*0.34),I2))</f>
        <v>45</v>
      </c>
      <c r="M46" s="31">
        <f>IF(MROUND(($E$2*0.35),I2)=0,I2,MROUND(($E$2*0.35),I2))</f>
        <v>45</v>
      </c>
    </row>
    <row r="47" spans="2:13" x14ac:dyDescent="0.25">
      <c r="B47" s="26" t="s">
        <v>25</v>
      </c>
      <c r="C47" s="33"/>
      <c r="D47" s="33"/>
      <c r="E47" s="33">
        <f>$I$2</f>
        <v>5</v>
      </c>
      <c r="F47" s="33">
        <f>IF(MROUND(($E$2*0.1),I2)=0,I2,MROUND(($E$2*0.1),I2))</f>
        <v>15</v>
      </c>
      <c r="G47" s="33">
        <f>IF(MROUND(($E$2*0.16),I2)=0,I2,MROUND(($E$2*0.16),I2))</f>
        <v>20</v>
      </c>
      <c r="H47" s="33">
        <f>IF(MROUND(($E$2*0.2),I2)=0,I2,MROUND(($E$2*0.2),I2))</f>
        <v>25</v>
      </c>
      <c r="I47" s="33">
        <f>IF(MROUND(($E$2*0.2),I2)=0,I2,MROUND(($E$2*0.2),I2))</f>
        <v>25</v>
      </c>
      <c r="J47" s="33">
        <f>IF(MROUND(($E$2*0.23),I2)=0,I2,MROUND(($E$2*0.23),I2))</f>
        <v>30</v>
      </c>
      <c r="K47" s="33">
        <f>IF(MROUND(($E$2*0.26),I2)=0,I2,MROUND(($E$2*0.26),I2))</f>
        <v>35</v>
      </c>
      <c r="L47" s="33">
        <f>IF(MROUND(($E$2*0.28),I2)=0,I2,MROUND(($E$2*0.28),I2))</f>
        <v>35</v>
      </c>
      <c r="M47" s="33">
        <f>IF(MROUND(($E$2*0.3),I2)=0,I2,MROUND(($E$2*0.3),I2))</f>
        <v>40</v>
      </c>
    </row>
    <row r="48" spans="2:13" x14ac:dyDescent="0.25">
      <c r="B48" s="26" t="s">
        <v>26</v>
      </c>
      <c r="C48" s="31"/>
      <c r="D48" s="31"/>
      <c r="E48" s="31"/>
      <c r="F48" s="31">
        <f>$I$2</f>
        <v>5</v>
      </c>
      <c r="G48" s="31">
        <f>IF(MROUND(($E$2*0.08),I2)=0,I2,MROUND(($E$2*0.08),I2))</f>
        <v>10</v>
      </c>
      <c r="H48" s="31">
        <f>IF(MROUND(($E$2*0.1),I2)=0,I2,MROUND(($E$2*0.1),I2))</f>
        <v>15</v>
      </c>
      <c r="I48" s="31">
        <f>IF(MROUND(($E$2*0.12),I2)=0,I2,MROUND(($E$2*0.12),I2))</f>
        <v>15</v>
      </c>
      <c r="J48" s="31">
        <f>IF(MROUND(($E$2*0.18),I2)=0,I2,MROUND(($E$2*0.18),I2))</f>
        <v>25</v>
      </c>
      <c r="K48" s="31">
        <f>IF(MROUND(($E$2*0.2),I2)=0,I2,MROUND(($E$2*0.2),I2))</f>
        <v>25</v>
      </c>
      <c r="L48" s="31">
        <f>IF(MROUND(($E$2*0.22),I2)=0,I2,MROUND(($E$2*0.22),I2))</f>
        <v>30</v>
      </c>
      <c r="M48" s="31">
        <f>IF(MROUND(($E$2*0.25),I2)=0,I2,MROUND(($E$2*0.25),I2))</f>
        <v>30</v>
      </c>
    </row>
    <row r="49" spans="2:13" x14ac:dyDescent="0.25">
      <c r="B49" s="26" t="s">
        <v>27</v>
      </c>
      <c r="C49" s="33"/>
      <c r="D49" s="33"/>
      <c r="E49" s="33"/>
      <c r="F49" s="33"/>
      <c r="G49" s="33">
        <f>$I$2</f>
        <v>5</v>
      </c>
      <c r="H49" s="33">
        <f>IF(MROUND(($E$2*0.04),I2)=0,I2,MROUND(($E$2*0.04),I2))</f>
        <v>5</v>
      </c>
      <c r="I49" s="33">
        <f>IF(MROUND(($E$2*0.08),I2)=0,I2,MROUND(($E$2*0.08),I2))</f>
        <v>10</v>
      </c>
      <c r="J49" s="33">
        <f>IF(MROUND(($E$2*0.12),I2)=0,I2,MROUND(($E$2*0.12),I2))</f>
        <v>15</v>
      </c>
      <c r="K49" s="33">
        <f>IF(MROUND(($E$2*0.15),I2)=0,I2,MROUND(($E$2*0.15),I2))</f>
        <v>20</v>
      </c>
      <c r="L49" s="33">
        <f>IF(MROUND(($E$2*0.17),I2)=0,I2,MROUND(($E$2*0.17),I2))</f>
        <v>20</v>
      </c>
      <c r="M49" s="33">
        <f>IF(MROUND(($E$2*0.2),I2)=0,I2,MROUND(($E$2*0.2),I2))</f>
        <v>25</v>
      </c>
    </row>
    <row r="50" spans="2:13" x14ac:dyDescent="0.25">
      <c r="B50" s="26" t="s">
        <v>28</v>
      </c>
      <c r="C50" s="31"/>
      <c r="D50" s="31"/>
      <c r="E50" s="31"/>
      <c r="F50" s="31"/>
      <c r="G50" s="31"/>
      <c r="H50" s="31">
        <f>$I$2</f>
        <v>5</v>
      </c>
      <c r="I50" s="31">
        <f>IF(MROUND(($E$2*0.03),I2)=0,I2,MROUND(($E$2*0.03),I2))</f>
        <v>5</v>
      </c>
      <c r="J50" s="31">
        <f>IF(MROUND(($E$2*0.08),I2)=0,I2,MROUND(($E$2*0.08),I2))</f>
        <v>10</v>
      </c>
      <c r="K50" s="31">
        <f>IF(MROUND(($E$2*0.12),I2)=0,I2,MROUND(($E$2*0.12),I2))</f>
        <v>15</v>
      </c>
      <c r="L50" s="31">
        <f>IF(MROUND(($E$2*0.13),I2)=0,I2,MROUND(($E$2*0.13),I2))</f>
        <v>15</v>
      </c>
      <c r="M50" s="31">
        <f>IF(MROUND(($E$2*0.15),I2)=0,I2,MROUND(($E$2*0.15),I2))</f>
        <v>20</v>
      </c>
    </row>
    <row r="51" spans="2:13" x14ac:dyDescent="0.25">
      <c r="B51" s="26" t="s">
        <v>29</v>
      </c>
      <c r="C51" s="33"/>
      <c r="D51" s="33"/>
      <c r="E51" s="33"/>
      <c r="F51" s="33"/>
      <c r="G51" s="33"/>
      <c r="H51" s="33"/>
      <c r="I51" s="33">
        <f>$I$2</f>
        <v>5</v>
      </c>
      <c r="J51" s="33">
        <f>IF(MROUND(($E$2*0.04),I2)=0,I2,MROUND(($E$2*0.04),I2))</f>
        <v>5</v>
      </c>
      <c r="K51" s="33">
        <f>IF(MROUND(($E$2*0.09),I2)=0,I2,MROUND(($E$2*0.09),I2))</f>
        <v>10</v>
      </c>
      <c r="L51" s="33">
        <f>IF(MROUND(($E$2*0.1),I2)=0,I2,MROUND(($E$2*0.1),I2))</f>
        <v>15</v>
      </c>
      <c r="M51" s="33">
        <f>IF(MROUND(($E$2*0.12),I2)=0,I2,MROUND(($E$2*0.12),I2))</f>
        <v>15</v>
      </c>
    </row>
    <row r="52" spans="2:13" x14ac:dyDescent="0.25">
      <c r="B52" s="26" t="s">
        <v>30</v>
      </c>
      <c r="C52" s="31"/>
      <c r="D52" s="31"/>
      <c r="E52" s="31"/>
      <c r="F52" s="31"/>
      <c r="G52" s="31"/>
      <c r="H52" s="31"/>
      <c r="I52" s="31"/>
      <c r="J52" s="31">
        <f>$I$2</f>
        <v>5</v>
      </c>
      <c r="K52" s="31">
        <f>IF(MROUND(($E$2*0.05),I2)=0,I2,MROUND(($E$2*0.05),I2))</f>
        <v>5</v>
      </c>
      <c r="L52" s="31">
        <f>IF(MROUND(($E$2*0.06),I2)=0,I2,MROUND(($E$2*0.06),I2))</f>
        <v>10</v>
      </c>
      <c r="M52" s="31">
        <f>IF(MROUND(($E$2*0.08),I2)=0,I2,MROUND(($E$2*0.08),I2))</f>
        <v>10</v>
      </c>
    </row>
    <row r="53" spans="2:13" x14ac:dyDescent="0.25">
      <c r="B53" s="26" t="s">
        <v>31</v>
      </c>
      <c r="C53" s="33"/>
      <c r="D53" s="33"/>
      <c r="E53" s="33"/>
      <c r="F53" s="33"/>
      <c r="G53" s="33"/>
      <c r="H53" s="33"/>
      <c r="I53" s="33"/>
      <c r="J53" s="33"/>
      <c r="K53" s="33">
        <f>$I$2</f>
        <v>5</v>
      </c>
      <c r="L53" s="33">
        <f>IF(MROUND(($E$2*0.02),I2)=0,I2,MROUND(($E$2*0.02),I2))</f>
        <v>5</v>
      </c>
      <c r="M53" s="33">
        <f>IF(MROUND(($E$2*0.05),I2)=0,I2,MROUND(($E$2*0.05),I2))</f>
        <v>5</v>
      </c>
    </row>
    <row r="54" spans="2:13" x14ac:dyDescent="0.25">
      <c r="B54" s="26" t="s">
        <v>32</v>
      </c>
      <c r="C54" s="31"/>
      <c r="D54" s="31"/>
      <c r="E54" s="31"/>
      <c r="F54" s="31"/>
      <c r="G54" s="31"/>
      <c r="H54" s="31"/>
      <c r="I54" s="31"/>
      <c r="J54" s="31"/>
      <c r="K54" s="31"/>
      <c r="L54" s="31">
        <f>$I$2</f>
        <v>5</v>
      </c>
      <c r="M54" s="31">
        <f>IF(MROUND(($E$2*0.02),I2)=0,I2,MROUND(($E$2*0.02),I2))</f>
        <v>5</v>
      </c>
    </row>
    <row r="55" spans="2:13" x14ac:dyDescent="0.25">
      <c r="B55" s="26" t="s">
        <v>33</v>
      </c>
      <c r="C55" s="33"/>
      <c r="D55" s="33"/>
      <c r="E55" s="33"/>
      <c r="F55" s="33"/>
      <c r="G55" s="33"/>
      <c r="H55" s="33"/>
      <c r="I55" s="33"/>
      <c r="J55" s="33"/>
      <c r="K55" s="33"/>
      <c r="L55" s="33"/>
      <c r="M55" s="33">
        <f>$I$2</f>
        <v>5</v>
      </c>
    </row>
    <row r="56" spans="2:13" s="7" customFormat="1" x14ac:dyDescent="0.25"/>
    <row r="57" spans="2:13" x14ac:dyDescent="0.25">
      <c r="B57" s="58" t="s">
        <v>88</v>
      </c>
      <c r="C57" s="57" t="s">
        <v>83</v>
      </c>
      <c r="D57" s="57" t="s">
        <v>35</v>
      </c>
      <c r="E57" s="57" t="s">
        <v>36</v>
      </c>
      <c r="F57" s="57" t="s">
        <v>37</v>
      </c>
      <c r="G57" s="57" t="s">
        <v>38</v>
      </c>
      <c r="H57" s="57" t="s">
        <v>39</v>
      </c>
      <c r="I57" s="57" t="s">
        <v>40</v>
      </c>
      <c r="J57" s="57" t="s">
        <v>41</v>
      </c>
      <c r="K57" s="57" t="s">
        <v>42</v>
      </c>
      <c r="L57" s="57" t="s">
        <v>43</v>
      </c>
      <c r="M57" s="57" t="s">
        <v>44</v>
      </c>
    </row>
    <row r="58" spans="2:13" x14ac:dyDescent="0.25">
      <c r="B58" s="26" t="s">
        <v>13</v>
      </c>
      <c r="C58" s="33">
        <f>IF(MROUND(($E$2*0.2),I2)=0,I2,MROUND(($E$2*0.2),I2))</f>
        <v>25</v>
      </c>
      <c r="D58" s="33">
        <f>IF(MROUND(($E$2*0.2),I2)=0,I2,MROUND(($E$2*0.2),I2))</f>
        <v>25</v>
      </c>
      <c r="E58" s="33">
        <f>IF(MROUND(($E$2*0.2),I2)=0,I2,MROUND(($E$2*0.2),I2))</f>
        <v>25</v>
      </c>
      <c r="F58" s="33">
        <f>IF(MROUND(($E$2*0.2),I2)=0,I2,MROUND(($E$2*0.2),I2))</f>
        <v>25</v>
      </c>
      <c r="G58" s="33">
        <f>IF(MROUND(($E$2*0.2),I2)=0,I2,MROUND(($E$2*0.2),I2))</f>
        <v>25</v>
      </c>
      <c r="H58" s="33">
        <f>IF(MROUND(($E$2*0.2),I2)=0,I2,MROUND(($E$2*0.2),I2))</f>
        <v>25</v>
      </c>
      <c r="I58" s="33">
        <f>IF(MROUND(($E$2*0.2),I2)=0,I2,MROUND(($E$2*0.2),I2))</f>
        <v>25</v>
      </c>
      <c r="J58" s="33">
        <f>IF(MROUND(($E$2*0.2),I2)=0,I2,MROUND(($E$2*0.2),I2))</f>
        <v>25</v>
      </c>
      <c r="K58" s="33">
        <f>IF(MROUND(($E$2*0.2),I2)=0,I2,MROUND(($E$2*0.2),I2))</f>
        <v>25</v>
      </c>
      <c r="L58" s="33">
        <f>IF(MROUND(($E$2*0.2),I2)=0,I2,MROUND(($E$2*0.2),I2))</f>
        <v>25</v>
      </c>
      <c r="M58" s="33">
        <f>IF(MROUND(($E$2*0.2),I2)=0,I2,MROUND(($E$2*0.2),I2))</f>
        <v>25</v>
      </c>
    </row>
    <row r="59" spans="2:13" x14ac:dyDescent="0.25">
      <c r="B59" s="26" t="s">
        <v>24</v>
      </c>
      <c r="C59" s="31"/>
      <c r="D59" s="31">
        <f>$I$2</f>
        <v>5</v>
      </c>
      <c r="E59" s="31">
        <f>IF(MROUND(($E$2*0.1),I2)=0,I2,MROUND(($E$2*0.1),I2))</f>
        <v>15</v>
      </c>
      <c r="F59" s="31">
        <f>IF(MROUND(($E$2*0.12),I2)=0,I2,MROUND(($E$2*0.12),I2))</f>
        <v>15</v>
      </c>
      <c r="G59" s="31">
        <f>IF(MROUND(($E$2*0.14),I2)=0,I2,MROUND(($E$2*0.14),I2))</f>
        <v>20</v>
      </c>
      <c r="H59" s="31">
        <f>IF(MROUND(($E$2*0.15),I2)=0,I2,MROUND(($E$2*0.15),I2))</f>
        <v>20</v>
      </c>
      <c r="I59" s="31">
        <f>IF(MROUND(($E$2*0.16),I2)=0,I2,MROUND(($E$2*0.16),I2))</f>
        <v>20</v>
      </c>
      <c r="J59" s="31">
        <f>IF(MROUND(($E$2*0.165),I2)=0,I2,MROUND(($E$2*0.165),I2))</f>
        <v>20</v>
      </c>
      <c r="K59" s="31">
        <f>IF(MROUND(($E$2*0.167),I2)=0,I2,MROUND(($E$2*0.167),I2))</f>
        <v>20</v>
      </c>
      <c r="L59" s="31">
        <f>IF(MROUND(($E$2*0.165),I2)=0,I2,MROUND(($E$2*0.165),I2))</f>
        <v>20</v>
      </c>
      <c r="M59" s="31">
        <f>IF(MROUND(($E$2*0.17),I2)=0,I2,MROUND(($E$2*0.17),I2))</f>
        <v>20</v>
      </c>
    </row>
    <row r="60" spans="2:13" x14ac:dyDescent="0.25">
      <c r="B60" s="26" t="s">
        <v>25</v>
      </c>
      <c r="C60" s="33"/>
      <c r="D60" s="33"/>
      <c r="E60" s="33">
        <f>$I$2</f>
        <v>5</v>
      </c>
      <c r="F60" s="33">
        <f>IF(MROUND(($E$2*0.06),I2)=0,I2,MROUND(($E$2*0.06),I2))</f>
        <v>10</v>
      </c>
      <c r="G60" s="33">
        <f>IF(MROUND(($E$2*0.09),I2)=0,I2,MROUND(($E$2*0.09),I2))</f>
        <v>10</v>
      </c>
      <c r="H60" s="33">
        <f>IF(MROUND(($E$2*0.1),I2)=0,I2,MROUND(($E$2*0.1),I2))</f>
        <v>15</v>
      </c>
      <c r="I60" s="33">
        <f>IF(MROUND(($E$2*0.11),I2)=0,I2,MROUND(($E$2*0.11),I2))</f>
        <v>15</v>
      </c>
      <c r="J60" s="33">
        <f>IF(MROUND(($E$2*0.12),I2)=0,I2,MROUND(($E$2*0.12),I2))</f>
        <v>15</v>
      </c>
      <c r="K60" s="33">
        <f>IF(MROUND(($E$2*0.13),I2)=0,I2,MROUND(($E$2*0.13),I2))</f>
        <v>15</v>
      </c>
      <c r="L60" s="33">
        <f>IF(MROUND(($E$2*0.135),I2)=0,I2,MROUND(($E$2*0.135),I2))</f>
        <v>15</v>
      </c>
      <c r="M60" s="33">
        <f>IF(MROUND(($E$2*0.14),I2)=0,I2,MROUND(($E$2*0.14),I2))</f>
        <v>20</v>
      </c>
    </row>
    <row r="61" spans="2:13" x14ac:dyDescent="0.25">
      <c r="B61" s="26" t="s">
        <v>26</v>
      </c>
      <c r="C61" s="31"/>
      <c r="D61" s="31"/>
      <c r="E61" s="31"/>
      <c r="F61" s="31">
        <f>$I$2</f>
        <v>5</v>
      </c>
      <c r="G61" s="31">
        <f>IF(MROUND(($E$2*0.04),I2)=0,I2,MROUND(($E$2*0.04),I2))</f>
        <v>5</v>
      </c>
      <c r="H61" s="31">
        <f>IF(MROUND(($E$2*0.06),I2)=0,I2,MROUND(($E$2*0.06),I2))</f>
        <v>10</v>
      </c>
      <c r="I61" s="31">
        <f>IF(MROUND(($E$2*0.07),I2)=0,I2,MROUND(($E$2*0.07),I2))</f>
        <v>10</v>
      </c>
      <c r="J61" s="31">
        <f>IF(MROUND(($E$2*0.09),I2)=0,I2,MROUND(($E$2*0.09),I2))</f>
        <v>10</v>
      </c>
      <c r="K61" s="31">
        <f>IF(MROUND(($E$2*0.1),I2)=0,I2,MROUND(($E$2*0.1),I2))</f>
        <v>15</v>
      </c>
      <c r="L61" s="31">
        <f>IF(MROUND(($E$2*0.11),I2)=0,I2,MROUND(($E$2*0.11),I2))</f>
        <v>15</v>
      </c>
      <c r="M61" s="31">
        <f>IF(MROUND(($E$2*0.115),I2)=0,I2,MROUND(($E$2*0.115),I2))</f>
        <v>15</v>
      </c>
    </row>
    <row r="62" spans="2:13" x14ac:dyDescent="0.25">
      <c r="B62" s="26" t="s">
        <v>27</v>
      </c>
      <c r="C62" s="33"/>
      <c r="D62" s="33"/>
      <c r="E62" s="33"/>
      <c r="F62" s="33"/>
      <c r="G62" s="33">
        <f>$I$2</f>
        <v>5</v>
      </c>
      <c r="H62" s="33">
        <f>IF(MROUND(($E$2*0.03),I2)=0,I2,MROUND(($E$2*0.03),I2))</f>
        <v>5</v>
      </c>
      <c r="I62" s="33">
        <f>IF(MROUND(($E$2*0.04),I2)=0,I2,MROUND(($E$2*0.04),I2))</f>
        <v>5</v>
      </c>
      <c r="J62" s="33">
        <f>IF(MROUND(($E$2*0.06),I2)=0,I2,MROUND(($E$2*0.06),I2))</f>
        <v>10</v>
      </c>
      <c r="K62" s="33">
        <f>IF(MROUND(($E$2*0.07),I2)=0,I2,MROUND(($E$2*0.07),I2))</f>
        <v>10</v>
      </c>
      <c r="L62" s="33">
        <f>IF(MROUND(($E$2*0.08),I2)=0,I2,MROUND(($E$2*0.08),I2))</f>
        <v>10</v>
      </c>
      <c r="M62" s="33">
        <f>IF(MROUND(($E$2*0.09),I2)=0,I2,MROUND(($E$2*0.09),I2))</f>
        <v>10</v>
      </c>
    </row>
    <row r="63" spans="2:13" x14ac:dyDescent="0.25">
      <c r="B63" s="26" t="s">
        <v>28</v>
      </c>
      <c r="C63" s="31"/>
      <c r="D63" s="31"/>
      <c r="E63" s="31"/>
      <c r="F63" s="31"/>
      <c r="G63" s="31"/>
      <c r="H63" s="31">
        <f>$I$2</f>
        <v>5</v>
      </c>
      <c r="I63" s="31">
        <f>IF(MROUND(($E$2*0.02),I2)=0,I2,MROUND(($E$2*0.02),I2))</f>
        <v>5</v>
      </c>
      <c r="J63" s="31">
        <f>IF(MROUND(($E$2*0.04),I2)=0,I2,MROUND(($E$2*0.04),I2))</f>
        <v>5</v>
      </c>
      <c r="K63" s="31">
        <f>IF(MROUND(($E$2*0.05),I2)=0,I2,MROUND(($E$2*0.05),I2))</f>
        <v>5</v>
      </c>
      <c r="L63" s="31">
        <f>IF(MROUND(($E$2*0.06),I2)=0,I2,MROUND(($E$2*0.06),I2))</f>
        <v>10</v>
      </c>
      <c r="M63" s="31">
        <f>IF(MROUND(($E$2*0.07),I2)=0,I2,MROUND(($E$2*0.07),I2))</f>
        <v>10</v>
      </c>
    </row>
    <row r="64" spans="2:13" x14ac:dyDescent="0.25">
      <c r="B64" s="26" t="s">
        <v>29</v>
      </c>
      <c r="C64" s="33"/>
      <c r="D64" s="33"/>
      <c r="E64" s="33"/>
      <c r="F64" s="33"/>
      <c r="G64" s="33"/>
      <c r="H64" s="33"/>
      <c r="I64" s="33">
        <f>$I$2</f>
        <v>5</v>
      </c>
      <c r="J64" s="33">
        <f>IF(MROUND(($E$2*0.02),I2)=0,I2,MROUND(($E$2*0.02),I2))</f>
        <v>5</v>
      </c>
      <c r="K64" s="33">
        <f>IF(MROUND(($E$2*0.03),I2)=0,I2,MROUND(($E$2*0.03),I2))</f>
        <v>5</v>
      </c>
      <c r="L64" s="33">
        <f>IF(MROUND(($E$2*0.04),I2)=0,I2,MROUND(($E$2*0.04),I2))</f>
        <v>5</v>
      </c>
      <c r="M64" s="33">
        <f>IF(MROUND(($E$2*0.05),I2)=0,I2,MROUND(($E$2*0.05),I2))</f>
        <v>5</v>
      </c>
    </row>
    <row r="65" spans="2:13" x14ac:dyDescent="0.25">
      <c r="B65" s="26" t="s">
        <v>30</v>
      </c>
      <c r="C65" s="31"/>
      <c r="D65" s="31"/>
      <c r="E65" s="31"/>
      <c r="F65" s="31"/>
      <c r="G65" s="31"/>
      <c r="H65" s="31"/>
      <c r="I65" s="31"/>
      <c r="J65" s="31">
        <f>$I$2</f>
        <v>5</v>
      </c>
      <c r="K65" s="31">
        <f>IF(MROUND(($E$2*0.02),I2)=0,I2,MROUND(($E$2*0.02),I2))</f>
        <v>5</v>
      </c>
      <c r="L65" s="31">
        <f>IF(MROUND(($E$2*0.025),I2)=0,I2,MROUND(($E$2*0.025),I2))</f>
        <v>5</v>
      </c>
      <c r="M65" s="31">
        <f>IF(MROUND(($E$2*0.035),I2)=0,I2,MROUND(($E$2*0.035),I2))</f>
        <v>5</v>
      </c>
    </row>
    <row r="66" spans="2:13" x14ac:dyDescent="0.25">
      <c r="B66" s="26" t="s">
        <v>31</v>
      </c>
      <c r="C66" s="33"/>
      <c r="D66" s="33"/>
      <c r="E66" s="33"/>
      <c r="F66" s="33"/>
      <c r="G66" s="33"/>
      <c r="H66" s="33"/>
      <c r="I66" s="33"/>
      <c r="J66" s="33"/>
      <c r="K66" s="33">
        <f>$I$2</f>
        <v>5</v>
      </c>
      <c r="L66" s="33">
        <f>IF(MROUND(($E$2*0.02),I2)=0,I2,MROUND(($E$2*0.02),I2))</f>
        <v>5</v>
      </c>
      <c r="M66" s="33">
        <f>IF(MROUND(($E$2*0.02),I2)=0,I2,MROUND(($E$2*0.02),I2))</f>
        <v>5</v>
      </c>
    </row>
    <row r="67" spans="2:13" x14ac:dyDescent="0.25">
      <c r="B67" s="26" t="s">
        <v>32</v>
      </c>
      <c r="C67" s="31"/>
      <c r="D67" s="31"/>
      <c r="E67" s="31"/>
      <c r="F67" s="31"/>
      <c r="G67" s="31"/>
      <c r="H67" s="31"/>
      <c r="I67" s="31"/>
      <c r="J67" s="31"/>
      <c r="K67" s="31"/>
      <c r="L67" s="31">
        <f>$I$2</f>
        <v>5</v>
      </c>
      <c r="M67" s="31">
        <f>IF(MROUND(($E$2*0.02),I2)=0,I2,MROUND(($E$2*0.02),I2))</f>
        <v>5</v>
      </c>
    </row>
    <row r="68" spans="2:13" x14ac:dyDescent="0.25">
      <c r="B68" s="26" t="s">
        <v>33</v>
      </c>
      <c r="C68" s="33"/>
      <c r="D68" s="33"/>
      <c r="E68" s="33"/>
      <c r="F68" s="33"/>
      <c r="G68" s="33"/>
      <c r="H68" s="33"/>
      <c r="I68" s="33"/>
      <c r="J68" s="33"/>
      <c r="K68" s="33"/>
      <c r="L68" s="33"/>
      <c r="M68" s="33">
        <f>$I$2</f>
        <v>5</v>
      </c>
    </row>
    <row r="69" spans="2:13" x14ac:dyDescent="0.25">
      <c r="B69" s="7"/>
      <c r="C69" s="7"/>
      <c r="D69" s="7"/>
      <c r="E69" s="7"/>
      <c r="F69" s="7"/>
      <c r="G69" s="7"/>
      <c r="H69" s="7"/>
      <c r="I69" s="7"/>
      <c r="J69" s="7"/>
      <c r="K69" s="7"/>
      <c r="L69" s="7"/>
      <c r="M69" s="7"/>
    </row>
    <row r="70" spans="2:13" x14ac:dyDescent="0.25">
      <c r="B70" s="7"/>
      <c r="C70" s="7"/>
      <c r="D70" s="7"/>
      <c r="E70" s="7"/>
      <c r="F70" s="7"/>
      <c r="G70" s="7"/>
      <c r="H70" s="7"/>
      <c r="I70" s="7"/>
      <c r="J70" s="7"/>
      <c r="K70" s="7"/>
      <c r="L70" s="7"/>
      <c r="M70" s="7"/>
    </row>
    <row r="71" spans="2:13" x14ac:dyDescent="0.25">
      <c r="B71" s="7"/>
      <c r="C71" s="7"/>
      <c r="D71" s="7"/>
      <c r="E71" s="7"/>
      <c r="F71" s="7"/>
      <c r="G71" s="7"/>
      <c r="H71" s="7"/>
      <c r="I71" s="7"/>
      <c r="J71" s="7"/>
      <c r="K71" s="7"/>
      <c r="L71" s="7"/>
      <c r="M71" s="7"/>
    </row>
    <row r="72" spans="2:13" x14ac:dyDescent="0.25">
      <c r="B72" s="7"/>
      <c r="C72" s="7"/>
      <c r="D72" s="7"/>
      <c r="E72" s="7"/>
      <c r="F72" s="7"/>
      <c r="G72" s="7"/>
      <c r="H72" s="7"/>
      <c r="I72" s="7"/>
      <c r="J72" s="7"/>
      <c r="K72" s="7"/>
      <c r="L72" s="7"/>
      <c r="M72" s="7"/>
    </row>
    <row r="73" spans="2:13" x14ac:dyDescent="0.25">
      <c r="B73" s="7"/>
      <c r="C73" s="7"/>
      <c r="D73" s="7"/>
      <c r="E73" s="7"/>
      <c r="F73" s="7"/>
      <c r="G73" s="7"/>
      <c r="H73" s="7"/>
      <c r="I73" s="7"/>
      <c r="J73" s="7"/>
      <c r="K73" s="7"/>
      <c r="L73" s="7"/>
      <c r="M73" s="7"/>
    </row>
    <row r="74" spans="2:13" x14ac:dyDescent="0.25">
      <c r="B74" s="7"/>
      <c r="C74" s="7"/>
      <c r="D74" s="7"/>
      <c r="E74" s="7"/>
      <c r="F74" s="7"/>
      <c r="G74" s="7"/>
      <c r="H74" s="7"/>
      <c r="I74" s="7"/>
      <c r="J74" s="7"/>
      <c r="K74" s="7"/>
      <c r="L74" s="7"/>
      <c r="M74" s="7"/>
    </row>
    <row r="75" spans="2:13" x14ac:dyDescent="0.25">
      <c r="B75" s="7"/>
      <c r="C75" s="7"/>
      <c r="D75" s="7"/>
      <c r="E75" s="7"/>
      <c r="F75" s="7"/>
      <c r="G75" s="7"/>
      <c r="H75" s="7"/>
      <c r="I75" s="7"/>
      <c r="J75" s="7"/>
      <c r="K75" s="7"/>
      <c r="L75" s="7"/>
      <c r="M75" s="7"/>
    </row>
    <row r="76" spans="2:13" x14ac:dyDescent="0.25">
      <c r="B76" s="7"/>
      <c r="C76" s="7"/>
      <c r="D76" s="7"/>
      <c r="E76" s="7"/>
      <c r="F76" s="7"/>
      <c r="G76" s="7"/>
      <c r="H76" s="7"/>
      <c r="I76" s="7"/>
      <c r="J76" s="7"/>
      <c r="K76" s="7"/>
      <c r="L76" s="7"/>
      <c r="M76" s="7"/>
    </row>
    <row r="77" spans="2:13" x14ac:dyDescent="0.25">
      <c r="B77" s="7"/>
      <c r="C77" s="7"/>
      <c r="D77" s="7"/>
      <c r="E77" s="7"/>
      <c r="F77" s="7"/>
      <c r="G77" s="7"/>
      <c r="H77" s="7"/>
      <c r="I77" s="7"/>
      <c r="J77" s="7"/>
      <c r="K77" s="7"/>
      <c r="L77" s="7"/>
      <c r="M77" s="7"/>
    </row>
    <row r="78" spans="2:13" x14ac:dyDescent="0.25">
      <c r="B78" s="7"/>
      <c r="C78" s="7"/>
      <c r="D78" s="7"/>
      <c r="E78" s="7"/>
      <c r="F78" s="7"/>
      <c r="G78" s="7"/>
      <c r="H78" s="7"/>
      <c r="I78" s="7"/>
      <c r="J78" s="7"/>
      <c r="K78" s="7"/>
      <c r="L78" s="7"/>
      <c r="M78" s="7"/>
    </row>
    <row r="79" spans="2:13" x14ac:dyDescent="0.25">
      <c r="B79" s="7"/>
      <c r="C79" s="7"/>
      <c r="D79" s="7"/>
      <c r="E79" s="7"/>
      <c r="F79" s="7"/>
      <c r="G79" s="7"/>
      <c r="H79" s="7"/>
      <c r="I79" s="7"/>
      <c r="J79" s="7"/>
      <c r="K79" s="7"/>
      <c r="L79" s="7"/>
      <c r="M79" s="7"/>
    </row>
    <row r="80" spans="2:13" x14ac:dyDescent="0.25">
      <c r="B80" s="7"/>
      <c r="C80" s="7"/>
      <c r="D80" s="7"/>
      <c r="E80" s="7"/>
      <c r="F80" s="7"/>
      <c r="G80" s="7"/>
      <c r="H80" s="7"/>
      <c r="I80" s="7"/>
      <c r="J80" s="7"/>
      <c r="K80" s="7"/>
      <c r="L80" s="7"/>
      <c r="M80" s="7"/>
    </row>
    <row r="81" spans="2:13" x14ac:dyDescent="0.25">
      <c r="B81" s="7"/>
      <c r="C81" s="7"/>
      <c r="D81" s="7"/>
      <c r="E81" s="7"/>
      <c r="F81" s="7"/>
      <c r="G81" s="7"/>
      <c r="H81" s="7"/>
      <c r="I81" s="7"/>
      <c r="J81" s="7"/>
      <c r="K81" s="7"/>
      <c r="L81" s="7"/>
      <c r="M81" s="7"/>
    </row>
    <row r="82" spans="2:13" x14ac:dyDescent="0.25">
      <c r="B82" s="7"/>
      <c r="C82" s="7"/>
      <c r="D82" s="7"/>
      <c r="E82" s="7"/>
      <c r="F82" s="7"/>
      <c r="G82" s="7"/>
      <c r="H82" s="7"/>
      <c r="I82" s="7"/>
      <c r="J82" s="7"/>
      <c r="K82" s="7"/>
      <c r="L82" s="7"/>
      <c r="M82" s="7"/>
    </row>
    <row r="83" spans="2:13" x14ac:dyDescent="0.25">
      <c r="B83" s="7"/>
      <c r="C83" s="7"/>
      <c r="D83" s="7"/>
      <c r="E83" s="7"/>
      <c r="F83" s="7"/>
      <c r="G83" s="7"/>
      <c r="H83" s="7"/>
      <c r="I83" s="7"/>
      <c r="J83" s="7"/>
      <c r="K83" s="7"/>
      <c r="L83" s="7"/>
      <c r="M83" s="7"/>
    </row>
    <row r="84" spans="2:13" x14ac:dyDescent="0.25">
      <c r="B84" s="7"/>
      <c r="C84" s="7"/>
      <c r="D84" s="7"/>
      <c r="E84" s="7"/>
      <c r="F84" s="7"/>
      <c r="G84" s="7"/>
      <c r="H84" s="7"/>
      <c r="I84" s="7"/>
      <c r="J84" s="7"/>
      <c r="K84" s="7"/>
      <c r="L84" s="7"/>
      <c r="M84" s="7"/>
    </row>
    <row r="85" spans="2:13" x14ac:dyDescent="0.25">
      <c r="B85" s="7"/>
      <c r="C85" s="7"/>
      <c r="D85" s="7"/>
      <c r="E85" s="7"/>
      <c r="F85" s="7"/>
      <c r="G85" s="7"/>
      <c r="H85" s="7"/>
      <c r="I85" s="7"/>
      <c r="J85" s="7"/>
      <c r="K85" s="7"/>
      <c r="L85" s="7"/>
      <c r="M85" s="7"/>
    </row>
    <row r="86" spans="2:13" x14ac:dyDescent="0.25">
      <c r="B86" s="7"/>
      <c r="C86" s="7"/>
      <c r="D86" s="7"/>
      <c r="E86" s="7"/>
      <c r="F86" s="7"/>
      <c r="G86" s="7"/>
      <c r="H86" s="7"/>
      <c r="I86" s="7"/>
      <c r="J86" s="7"/>
      <c r="K86" s="7"/>
      <c r="L86" s="7"/>
      <c r="M86" s="7"/>
    </row>
    <row r="87" spans="2:13" x14ac:dyDescent="0.25">
      <c r="B87" s="7"/>
      <c r="C87" s="7"/>
      <c r="D87" s="7"/>
      <c r="E87" s="7"/>
      <c r="F87" s="7"/>
      <c r="G87" s="7"/>
      <c r="H87" s="7"/>
      <c r="I87" s="7"/>
      <c r="J87" s="7"/>
      <c r="K87" s="7"/>
      <c r="L87" s="7"/>
      <c r="M87" s="7"/>
    </row>
    <row r="88" spans="2:13" x14ac:dyDescent="0.25">
      <c r="B88" s="7"/>
      <c r="C88" s="7"/>
      <c r="D88" s="7"/>
      <c r="E88" s="7"/>
      <c r="F88" s="7"/>
      <c r="G88" s="7"/>
      <c r="H88" s="7"/>
      <c r="I88" s="7"/>
      <c r="J88" s="7"/>
      <c r="K88" s="7"/>
      <c r="L88" s="7"/>
      <c r="M88" s="7"/>
    </row>
    <row r="89" spans="2:13" x14ac:dyDescent="0.25">
      <c r="B89" s="7"/>
      <c r="C89" s="7"/>
      <c r="D89" s="7"/>
      <c r="E89" s="7"/>
      <c r="F89" s="7"/>
      <c r="G89" s="7"/>
      <c r="H89" s="7"/>
      <c r="I89" s="7"/>
      <c r="J89" s="7"/>
      <c r="K89" s="7"/>
      <c r="L89" s="7"/>
      <c r="M89" s="7"/>
    </row>
    <row r="90" spans="2:13" x14ac:dyDescent="0.25">
      <c r="B90" s="7"/>
      <c r="C90" s="7"/>
      <c r="D90" s="7"/>
      <c r="E90" s="7"/>
      <c r="F90" s="7"/>
      <c r="G90" s="7"/>
      <c r="H90" s="7"/>
      <c r="I90" s="7"/>
      <c r="J90" s="7"/>
      <c r="K90" s="7"/>
      <c r="L90" s="7"/>
      <c r="M90" s="7"/>
    </row>
    <row r="91" spans="2:13" x14ac:dyDescent="0.25">
      <c r="B91" s="7"/>
      <c r="C91" s="7"/>
      <c r="D91" s="7"/>
      <c r="E91" s="7"/>
      <c r="F91" s="7"/>
      <c r="G91" s="7"/>
      <c r="H91" s="7"/>
      <c r="I91" s="7"/>
      <c r="J91" s="7"/>
      <c r="K91" s="7"/>
      <c r="L91" s="7"/>
      <c r="M91" s="7"/>
    </row>
    <row r="92" spans="2:13" x14ac:dyDescent="0.25">
      <c r="B92" s="7"/>
      <c r="C92" s="7"/>
      <c r="D92" s="7"/>
      <c r="E92" s="7"/>
      <c r="F92" s="7"/>
      <c r="G92" s="7"/>
      <c r="H92" s="7"/>
      <c r="I92" s="7"/>
      <c r="J92" s="7"/>
      <c r="K92" s="7"/>
      <c r="L92" s="7"/>
      <c r="M92" s="7"/>
    </row>
    <row r="93" spans="2:13" x14ac:dyDescent="0.25">
      <c r="B93" s="7"/>
      <c r="C93" s="7"/>
      <c r="D93" s="7"/>
      <c r="E93" s="7"/>
      <c r="F93" s="7"/>
      <c r="G93" s="7"/>
      <c r="H93" s="7"/>
      <c r="I93" s="7"/>
      <c r="J93" s="7"/>
      <c r="K93" s="7"/>
      <c r="L93" s="7"/>
      <c r="M93" s="7"/>
    </row>
    <row r="94" spans="2:13" x14ac:dyDescent="0.25">
      <c r="B94" s="7"/>
      <c r="C94" s="7"/>
      <c r="D94" s="7"/>
      <c r="E94" s="7"/>
      <c r="F94" s="7"/>
      <c r="G94" s="7"/>
      <c r="H94" s="7"/>
      <c r="I94" s="7"/>
      <c r="J94" s="7"/>
      <c r="K94" s="7"/>
      <c r="L94" s="7"/>
      <c r="M94" s="7"/>
    </row>
    <row r="95" spans="2:13" x14ac:dyDescent="0.25">
      <c r="B95" s="7"/>
      <c r="C95" s="7"/>
      <c r="D95" s="7"/>
      <c r="E95" s="7"/>
      <c r="F95" s="7"/>
      <c r="G95" s="7"/>
      <c r="H95" s="7"/>
      <c r="I95" s="7"/>
      <c r="J95" s="7"/>
      <c r="K95" s="7"/>
      <c r="L95" s="7"/>
      <c r="M95" s="7"/>
    </row>
    <row r="96" spans="2:13" x14ac:dyDescent="0.25">
      <c r="B96" s="7"/>
      <c r="C96" s="7"/>
      <c r="D96" s="7"/>
      <c r="E96" s="7"/>
      <c r="F96" s="7"/>
      <c r="G96" s="7"/>
      <c r="H96" s="7"/>
      <c r="I96" s="7"/>
      <c r="J96" s="7"/>
      <c r="K96" s="7"/>
      <c r="L96" s="7"/>
      <c r="M96" s="7"/>
    </row>
    <row r="97" spans="2:13" x14ac:dyDescent="0.25">
      <c r="B97" s="7"/>
      <c r="C97" s="7"/>
      <c r="D97" s="7"/>
      <c r="E97" s="7"/>
      <c r="F97" s="7"/>
      <c r="G97" s="7"/>
      <c r="H97" s="7"/>
      <c r="I97" s="7"/>
      <c r="J97" s="7"/>
      <c r="K97" s="7"/>
      <c r="L97" s="7"/>
      <c r="M97" s="7"/>
    </row>
    <row r="98" spans="2:13" x14ac:dyDescent="0.25">
      <c r="B98" s="7"/>
      <c r="C98" s="7"/>
      <c r="D98" s="7"/>
      <c r="E98" s="7"/>
      <c r="F98" s="7"/>
      <c r="G98" s="7"/>
      <c r="H98" s="7"/>
      <c r="I98" s="7"/>
      <c r="J98" s="7"/>
      <c r="K98" s="7"/>
      <c r="L98" s="7"/>
      <c r="M98" s="7"/>
    </row>
    <row r="99" spans="2:13" x14ac:dyDescent="0.25">
      <c r="B99" s="7"/>
      <c r="C99" s="7"/>
      <c r="D99" s="7"/>
      <c r="E99" s="7"/>
      <c r="F99" s="7"/>
      <c r="G99" s="7"/>
      <c r="H99" s="7"/>
      <c r="I99" s="7"/>
      <c r="J99" s="7"/>
      <c r="K99" s="7"/>
      <c r="L99" s="7"/>
      <c r="M99" s="7"/>
    </row>
    <row r="100" spans="2:13" x14ac:dyDescent="0.25">
      <c r="B100" s="7"/>
      <c r="C100" s="7"/>
      <c r="D100" s="7"/>
      <c r="E100" s="7"/>
      <c r="F100" s="7"/>
      <c r="G100" s="7"/>
      <c r="H100" s="7"/>
      <c r="I100" s="7"/>
      <c r="J100" s="7"/>
      <c r="K100" s="7"/>
      <c r="L100" s="7"/>
      <c r="M100" s="7"/>
    </row>
    <row r="101" spans="2:13" x14ac:dyDescent="0.25">
      <c r="B101" s="7"/>
      <c r="C101" s="7"/>
      <c r="D101" s="7"/>
      <c r="E101" s="7"/>
      <c r="F101" s="7"/>
      <c r="G101" s="7"/>
      <c r="H101" s="7"/>
      <c r="I101" s="7"/>
      <c r="J101" s="7"/>
      <c r="K101" s="7"/>
      <c r="L101" s="7"/>
      <c r="M101" s="7"/>
    </row>
    <row r="102" spans="2:13" x14ac:dyDescent="0.25">
      <c r="B102" s="7"/>
      <c r="C102" s="7"/>
      <c r="D102" s="7"/>
      <c r="E102" s="7"/>
      <c r="F102" s="7"/>
      <c r="G102" s="7"/>
      <c r="H102" s="7"/>
      <c r="I102" s="7"/>
      <c r="J102" s="7"/>
      <c r="K102" s="7"/>
      <c r="L102" s="7"/>
      <c r="M102" s="7"/>
    </row>
    <row r="103" spans="2:13" x14ac:dyDescent="0.25">
      <c r="B103" s="7"/>
      <c r="C103" s="7"/>
      <c r="D103" s="7"/>
      <c r="E103" s="7"/>
      <c r="F103" s="7"/>
      <c r="G103" s="7"/>
      <c r="H103" s="7"/>
      <c r="I103" s="7"/>
      <c r="J103" s="7"/>
      <c r="K103" s="7"/>
      <c r="L103" s="7"/>
      <c r="M103" s="7"/>
    </row>
    <row r="104" spans="2:13" x14ac:dyDescent="0.25">
      <c r="B104" s="7"/>
      <c r="C104" s="7"/>
      <c r="D104" s="7"/>
      <c r="E104" s="7"/>
      <c r="F104" s="7"/>
      <c r="G104" s="7"/>
      <c r="H104" s="7"/>
      <c r="I104" s="7"/>
      <c r="J104" s="7"/>
      <c r="K104" s="7"/>
      <c r="L104" s="7"/>
      <c r="M104" s="7"/>
    </row>
    <row r="105" spans="2:13" x14ac:dyDescent="0.25">
      <c r="B105" s="7"/>
      <c r="C105" s="7"/>
      <c r="D105" s="7"/>
      <c r="E105" s="7"/>
      <c r="F105" s="7"/>
      <c r="G105" s="7"/>
      <c r="H105" s="7"/>
      <c r="I105" s="7"/>
      <c r="J105" s="7"/>
      <c r="K105" s="7"/>
      <c r="L105" s="7"/>
      <c r="M105" s="7"/>
    </row>
    <row r="106" spans="2:13" x14ac:dyDescent="0.25">
      <c r="B106" s="7"/>
      <c r="C106" s="7"/>
      <c r="D106" s="7"/>
      <c r="E106" s="7"/>
      <c r="F106" s="7"/>
      <c r="G106" s="7"/>
      <c r="H106" s="7"/>
      <c r="I106" s="7"/>
      <c r="J106" s="7"/>
      <c r="K106" s="7"/>
      <c r="L106" s="7"/>
      <c r="M106" s="7"/>
    </row>
    <row r="107" spans="2:13" x14ac:dyDescent="0.25">
      <c r="B107" s="7"/>
      <c r="C107" s="7"/>
      <c r="D107" s="7"/>
      <c r="E107" s="7"/>
      <c r="F107" s="7"/>
      <c r="G107" s="7"/>
      <c r="H107" s="7"/>
      <c r="I107" s="7"/>
      <c r="J107" s="7"/>
      <c r="K107" s="7"/>
      <c r="L107" s="7"/>
      <c r="M107" s="7"/>
    </row>
    <row r="108" spans="2:13" x14ac:dyDescent="0.25">
      <c r="B108" s="7"/>
      <c r="C108" s="7"/>
      <c r="D108" s="7"/>
      <c r="E108" s="7"/>
      <c r="F108" s="7"/>
      <c r="G108" s="7"/>
      <c r="H108" s="7"/>
      <c r="I108" s="7"/>
      <c r="J108" s="7"/>
      <c r="K108" s="7"/>
      <c r="L108" s="7"/>
      <c r="M108" s="7"/>
    </row>
    <row r="109" spans="2:13" x14ac:dyDescent="0.25">
      <c r="B109" s="7"/>
      <c r="C109" s="7"/>
      <c r="D109" s="7"/>
      <c r="E109" s="7"/>
      <c r="F109" s="7"/>
      <c r="G109" s="7"/>
      <c r="H109" s="7"/>
      <c r="I109" s="7"/>
      <c r="J109" s="7"/>
      <c r="K109" s="7"/>
      <c r="L109" s="7"/>
      <c r="M109" s="7"/>
    </row>
    <row r="110" spans="2:13" x14ac:dyDescent="0.25">
      <c r="B110" s="7"/>
      <c r="C110" s="7"/>
      <c r="D110" s="7"/>
      <c r="E110" s="7"/>
      <c r="F110" s="7"/>
      <c r="G110" s="7"/>
      <c r="H110" s="7"/>
      <c r="I110" s="7"/>
      <c r="J110" s="7"/>
      <c r="K110" s="7"/>
      <c r="L110" s="7"/>
      <c r="M110" s="7"/>
    </row>
    <row r="111" spans="2:13" x14ac:dyDescent="0.25">
      <c r="B111" s="7"/>
      <c r="C111" s="7"/>
      <c r="D111" s="7"/>
      <c r="E111" s="7"/>
      <c r="F111" s="7"/>
      <c r="G111" s="7"/>
      <c r="H111" s="7"/>
      <c r="I111" s="7"/>
      <c r="J111" s="7"/>
      <c r="K111" s="7"/>
      <c r="L111" s="7"/>
      <c r="M111" s="7"/>
    </row>
    <row r="112" spans="2:13" x14ac:dyDescent="0.25">
      <c r="B112" s="7"/>
      <c r="C112" s="7"/>
      <c r="D112" s="7"/>
      <c r="E112" s="7"/>
      <c r="F112" s="7"/>
      <c r="G112" s="7"/>
      <c r="H112" s="7"/>
      <c r="I112" s="7"/>
      <c r="J112" s="7"/>
      <c r="K112" s="7"/>
      <c r="L112" s="7"/>
      <c r="M112" s="7"/>
    </row>
    <row r="113" spans="2:13" x14ac:dyDescent="0.25">
      <c r="B113" s="7"/>
      <c r="C113" s="7"/>
      <c r="D113" s="7"/>
      <c r="E113" s="7"/>
      <c r="F113" s="7"/>
      <c r="G113" s="7"/>
      <c r="H113" s="7"/>
      <c r="I113" s="7"/>
      <c r="J113" s="7"/>
      <c r="K113" s="7"/>
      <c r="L113" s="7"/>
      <c r="M113" s="7"/>
    </row>
    <row r="114" spans="2:13" x14ac:dyDescent="0.25">
      <c r="B114" s="7"/>
      <c r="C114" s="7"/>
      <c r="D114" s="7"/>
      <c r="E114" s="7"/>
      <c r="F114" s="7"/>
      <c r="G114" s="7"/>
      <c r="H114" s="7"/>
      <c r="I114" s="7"/>
      <c r="J114" s="7"/>
      <c r="K114" s="7"/>
      <c r="L114" s="7"/>
      <c r="M114" s="7"/>
    </row>
    <row r="115" spans="2:13" x14ac:dyDescent="0.25">
      <c r="B115" s="7"/>
      <c r="C115" s="7"/>
      <c r="D115" s="7"/>
      <c r="E115" s="7"/>
      <c r="F115" s="7"/>
      <c r="G115" s="7"/>
      <c r="H115" s="7"/>
      <c r="I115" s="7"/>
      <c r="J115" s="7"/>
      <c r="K115" s="7"/>
      <c r="L115" s="7"/>
      <c r="M115" s="7"/>
    </row>
    <row r="116" spans="2:13" x14ac:dyDescent="0.25">
      <c r="B116" s="7"/>
      <c r="C116" s="7"/>
      <c r="D116" s="7"/>
      <c r="E116" s="7"/>
      <c r="F116" s="7"/>
      <c r="G116" s="7"/>
      <c r="H116" s="7"/>
      <c r="I116" s="7"/>
      <c r="J116" s="7"/>
      <c r="K116" s="7"/>
      <c r="L116" s="7"/>
      <c r="M116" s="7"/>
    </row>
    <row r="117" spans="2:13" x14ac:dyDescent="0.25">
      <c r="B117" s="7"/>
      <c r="C117" s="7"/>
      <c r="D117" s="7"/>
      <c r="E117" s="7"/>
      <c r="F117" s="7"/>
      <c r="G117" s="7"/>
      <c r="H117" s="7"/>
      <c r="I117" s="7"/>
      <c r="J117" s="7"/>
      <c r="K117" s="7"/>
      <c r="L117" s="7"/>
      <c r="M117" s="7"/>
    </row>
    <row r="118" spans="2:13" x14ac:dyDescent="0.25">
      <c r="B118" s="7"/>
      <c r="C118" s="7"/>
      <c r="D118" s="7"/>
      <c r="E118" s="7"/>
      <c r="F118" s="7"/>
      <c r="G118" s="7"/>
      <c r="H118" s="7"/>
      <c r="I118" s="7"/>
      <c r="J118" s="7"/>
      <c r="K118" s="7"/>
      <c r="L118" s="7"/>
      <c r="M118" s="7"/>
    </row>
    <row r="119" spans="2:13" x14ac:dyDescent="0.25">
      <c r="B119" s="7"/>
      <c r="C119" s="7"/>
      <c r="D119" s="7"/>
      <c r="E119" s="7"/>
      <c r="F119" s="7"/>
      <c r="G119" s="7"/>
      <c r="H119" s="7"/>
      <c r="I119" s="7"/>
      <c r="J119" s="7"/>
      <c r="K119" s="7"/>
      <c r="L119" s="7"/>
      <c r="M119" s="7"/>
    </row>
    <row r="120" spans="2:13" x14ac:dyDescent="0.25">
      <c r="B120" s="7"/>
      <c r="C120" s="7"/>
      <c r="D120" s="7"/>
      <c r="E120" s="7"/>
      <c r="F120" s="7"/>
      <c r="G120" s="7"/>
      <c r="H120" s="7"/>
      <c r="I120" s="7"/>
      <c r="J120" s="7"/>
      <c r="K120" s="7"/>
      <c r="L120" s="7"/>
      <c r="M120" s="7"/>
    </row>
    <row r="121" spans="2:13" x14ac:dyDescent="0.25">
      <c r="B121" s="7"/>
      <c r="C121" s="7"/>
      <c r="D121" s="7"/>
      <c r="E121" s="7"/>
      <c r="F121" s="7"/>
      <c r="G121" s="7"/>
      <c r="H121" s="7"/>
      <c r="I121" s="7"/>
      <c r="J121" s="7"/>
      <c r="K121" s="7"/>
      <c r="L121" s="7"/>
      <c r="M121" s="7"/>
    </row>
    <row r="122" spans="2:13" x14ac:dyDescent="0.25">
      <c r="B122" s="7"/>
      <c r="C122" s="7"/>
      <c r="D122" s="7"/>
      <c r="E122" s="7"/>
      <c r="F122" s="7"/>
      <c r="G122" s="7"/>
      <c r="H122" s="7"/>
      <c r="I122" s="7"/>
      <c r="J122" s="7"/>
      <c r="K122" s="7"/>
      <c r="L122" s="7"/>
      <c r="M122" s="7"/>
    </row>
    <row r="123" spans="2:13" x14ac:dyDescent="0.25">
      <c r="B123" s="7"/>
      <c r="C123" s="7"/>
      <c r="D123" s="7"/>
      <c r="E123" s="7"/>
      <c r="F123" s="7"/>
      <c r="G123" s="7"/>
      <c r="H123" s="7"/>
      <c r="I123" s="7"/>
      <c r="J123" s="7"/>
      <c r="K123" s="7"/>
      <c r="L123" s="7"/>
      <c r="M123" s="7"/>
    </row>
    <row r="124" spans="2:13" x14ac:dyDescent="0.25">
      <c r="B124" s="7"/>
      <c r="C124" s="7"/>
      <c r="D124" s="7"/>
      <c r="E124" s="7"/>
      <c r="F124" s="7"/>
      <c r="G124" s="7"/>
      <c r="H124" s="7"/>
      <c r="I124" s="7"/>
      <c r="J124" s="7"/>
      <c r="K124" s="7"/>
      <c r="L124" s="7"/>
      <c r="M124" s="7"/>
    </row>
    <row r="125" spans="2:13" x14ac:dyDescent="0.25">
      <c r="B125" s="7"/>
      <c r="C125" s="7"/>
      <c r="D125" s="7"/>
      <c r="E125" s="7"/>
      <c r="F125" s="7"/>
      <c r="G125" s="7"/>
      <c r="H125" s="7"/>
      <c r="I125" s="7"/>
      <c r="J125" s="7"/>
      <c r="K125" s="7"/>
      <c r="L125" s="7"/>
      <c r="M125" s="7"/>
    </row>
    <row r="126" spans="2:13" x14ac:dyDescent="0.25">
      <c r="B126" s="7"/>
      <c r="C126" s="7"/>
      <c r="D126" s="7"/>
      <c r="E126" s="7"/>
      <c r="F126" s="7"/>
      <c r="G126" s="7"/>
      <c r="H126" s="7"/>
      <c r="I126" s="7"/>
      <c r="J126" s="7"/>
      <c r="K126" s="7"/>
      <c r="L126" s="7"/>
      <c r="M126" s="7"/>
    </row>
    <row r="127" spans="2:13" x14ac:dyDescent="0.25">
      <c r="B127" s="7"/>
      <c r="C127" s="7"/>
      <c r="D127" s="7"/>
      <c r="E127" s="7"/>
      <c r="F127" s="7"/>
      <c r="G127" s="7"/>
      <c r="H127" s="7"/>
      <c r="I127" s="7"/>
      <c r="J127" s="7"/>
      <c r="K127" s="7"/>
      <c r="L127" s="7"/>
      <c r="M127" s="7"/>
    </row>
    <row r="128" spans="2:13" x14ac:dyDescent="0.25">
      <c r="B128" s="7"/>
      <c r="C128" s="7"/>
      <c r="D128" s="7"/>
      <c r="E128" s="7"/>
      <c r="F128" s="7"/>
      <c r="G128" s="7"/>
      <c r="H128" s="7"/>
      <c r="I128" s="7"/>
      <c r="J128" s="7"/>
      <c r="K128" s="7"/>
      <c r="L128" s="7"/>
      <c r="M128" s="7"/>
    </row>
    <row r="129" spans="2:13" x14ac:dyDescent="0.25">
      <c r="B129" s="7"/>
      <c r="C129" s="7"/>
      <c r="D129" s="7"/>
      <c r="E129" s="7"/>
      <c r="F129" s="7"/>
      <c r="G129" s="7"/>
      <c r="H129" s="7"/>
      <c r="I129" s="7"/>
      <c r="J129" s="7"/>
      <c r="K129" s="7"/>
      <c r="L129" s="7"/>
      <c r="M129" s="7"/>
    </row>
    <row r="130" spans="2:13" x14ac:dyDescent="0.25">
      <c r="B130" s="7"/>
      <c r="C130" s="7"/>
      <c r="D130" s="7"/>
      <c r="E130" s="7"/>
      <c r="F130" s="7"/>
      <c r="G130" s="7"/>
      <c r="H130" s="7"/>
      <c r="I130" s="7"/>
      <c r="J130" s="7"/>
      <c r="K130" s="7"/>
      <c r="L130" s="7"/>
      <c r="M130" s="7"/>
    </row>
    <row r="131" spans="2:13" x14ac:dyDescent="0.25">
      <c r="B131" s="7"/>
      <c r="C131" s="7"/>
      <c r="D131" s="7"/>
      <c r="E131" s="7"/>
      <c r="F131" s="7"/>
      <c r="G131" s="7"/>
      <c r="H131" s="7"/>
      <c r="I131" s="7"/>
      <c r="J131" s="7"/>
      <c r="K131" s="7"/>
      <c r="L131" s="7"/>
      <c r="M131" s="7"/>
    </row>
    <row r="132" spans="2:13" x14ac:dyDescent="0.25">
      <c r="B132" s="7"/>
      <c r="C132" s="7"/>
      <c r="D132" s="7"/>
      <c r="E132" s="7"/>
      <c r="F132" s="7"/>
      <c r="G132" s="7"/>
      <c r="H132" s="7"/>
      <c r="I132" s="7"/>
      <c r="J132" s="7"/>
      <c r="K132" s="7"/>
      <c r="L132" s="7"/>
      <c r="M132" s="7"/>
    </row>
    <row r="133" spans="2:13" x14ac:dyDescent="0.25">
      <c r="B133" s="7"/>
      <c r="C133" s="7"/>
      <c r="D133" s="7"/>
      <c r="E133" s="7"/>
      <c r="F133" s="7"/>
      <c r="G133" s="7"/>
      <c r="H133" s="7"/>
      <c r="I133" s="7"/>
      <c r="J133" s="7"/>
      <c r="K133" s="7"/>
      <c r="L133" s="7"/>
      <c r="M133" s="7"/>
    </row>
    <row r="134" spans="2:13" x14ac:dyDescent="0.25">
      <c r="B134" s="7"/>
      <c r="C134" s="7"/>
      <c r="D134" s="7"/>
      <c r="E134" s="7"/>
      <c r="F134" s="7"/>
      <c r="G134" s="7"/>
      <c r="H134" s="7"/>
      <c r="I134" s="7"/>
      <c r="J134" s="7"/>
      <c r="K134" s="7"/>
      <c r="L134" s="7"/>
      <c r="M134" s="7"/>
    </row>
    <row r="135" spans="2:13" x14ac:dyDescent="0.25">
      <c r="B135" s="7"/>
      <c r="C135" s="7"/>
      <c r="D135" s="7"/>
      <c r="E135" s="7"/>
      <c r="F135" s="7"/>
      <c r="G135" s="7"/>
      <c r="H135" s="7"/>
      <c r="I135" s="7"/>
      <c r="J135" s="7"/>
      <c r="K135" s="7"/>
      <c r="L135" s="7"/>
      <c r="M135" s="7"/>
    </row>
    <row r="136" spans="2:13" x14ac:dyDescent="0.25">
      <c r="B136" s="7"/>
      <c r="C136" s="7"/>
      <c r="D136" s="7"/>
      <c r="E136" s="7"/>
      <c r="F136" s="7"/>
      <c r="G136" s="7"/>
      <c r="H136" s="7"/>
      <c r="I136" s="7"/>
      <c r="J136" s="7"/>
      <c r="K136" s="7"/>
      <c r="L136" s="7"/>
      <c r="M136" s="7"/>
    </row>
    <row r="137" spans="2:13" x14ac:dyDescent="0.25">
      <c r="B137" s="7"/>
      <c r="C137" s="7"/>
      <c r="D137" s="7"/>
      <c r="E137" s="7"/>
      <c r="F137" s="7"/>
      <c r="G137" s="7"/>
      <c r="H137" s="7"/>
      <c r="I137" s="7"/>
      <c r="J137" s="7"/>
      <c r="K137" s="7"/>
      <c r="L137" s="7"/>
      <c r="M137" s="7"/>
    </row>
    <row r="138" spans="2:13" x14ac:dyDescent="0.25">
      <c r="B138" s="7"/>
      <c r="C138" s="7"/>
      <c r="D138" s="7"/>
      <c r="E138" s="7"/>
      <c r="F138" s="7"/>
      <c r="G138" s="7"/>
      <c r="H138" s="7"/>
      <c r="I138" s="7"/>
      <c r="J138" s="7"/>
      <c r="K138" s="7"/>
      <c r="L138" s="7"/>
      <c r="M138" s="7"/>
    </row>
    <row r="139" spans="2:13" x14ac:dyDescent="0.25">
      <c r="B139" s="7"/>
      <c r="C139" s="7"/>
      <c r="D139" s="7"/>
      <c r="E139" s="7"/>
      <c r="F139" s="7"/>
      <c r="G139" s="7"/>
      <c r="H139" s="7"/>
      <c r="I139" s="7"/>
      <c r="J139" s="7"/>
      <c r="K139" s="7"/>
      <c r="L139" s="7"/>
      <c r="M139" s="7"/>
    </row>
    <row r="140" spans="2:13" x14ac:dyDescent="0.25">
      <c r="B140" s="7"/>
      <c r="C140" s="7"/>
      <c r="D140" s="7"/>
      <c r="E140" s="7"/>
      <c r="F140" s="7"/>
      <c r="G140" s="7"/>
      <c r="H140" s="7"/>
      <c r="I140" s="7"/>
      <c r="J140" s="7"/>
      <c r="K140" s="7"/>
      <c r="L140" s="7"/>
      <c r="M140" s="7"/>
    </row>
    <row r="141" spans="2:13" x14ac:dyDescent="0.25">
      <c r="B141" s="7"/>
      <c r="C141" s="7"/>
      <c r="D141" s="7"/>
      <c r="E141" s="7"/>
      <c r="F141" s="7"/>
      <c r="G141" s="7"/>
      <c r="H141" s="7"/>
      <c r="I141" s="7"/>
      <c r="J141" s="7"/>
      <c r="K141" s="7"/>
      <c r="L141" s="7"/>
      <c r="M141" s="7"/>
    </row>
    <row r="142" spans="2:13" x14ac:dyDescent="0.25">
      <c r="B142" s="7"/>
      <c r="C142" s="7"/>
      <c r="D142" s="7"/>
      <c r="E142" s="7"/>
      <c r="F142" s="7"/>
      <c r="G142" s="7"/>
      <c r="H142" s="7"/>
      <c r="I142" s="7"/>
      <c r="J142" s="7"/>
      <c r="K142" s="7"/>
      <c r="L142" s="7"/>
      <c r="M142" s="7"/>
    </row>
    <row r="143" spans="2:13" x14ac:dyDescent="0.25">
      <c r="B143" s="7"/>
      <c r="C143" s="7"/>
      <c r="D143" s="7"/>
      <c r="E143" s="7"/>
      <c r="F143" s="7"/>
      <c r="G143" s="7"/>
      <c r="H143" s="7"/>
      <c r="I143" s="7"/>
      <c r="J143" s="7"/>
      <c r="K143" s="7"/>
      <c r="L143" s="7"/>
      <c r="M143" s="7"/>
    </row>
    <row r="144" spans="2:13" x14ac:dyDescent="0.25">
      <c r="B144" s="7"/>
      <c r="C144" s="7"/>
      <c r="D144" s="7"/>
      <c r="E144" s="7"/>
      <c r="F144" s="7"/>
      <c r="G144" s="7"/>
      <c r="H144" s="7"/>
      <c r="I144" s="7"/>
      <c r="J144" s="7"/>
      <c r="K144" s="7"/>
      <c r="L144" s="7"/>
      <c r="M144" s="7"/>
    </row>
    <row r="145" spans="2:13" x14ac:dyDescent="0.25">
      <c r="B145" s="7"/>
      <c r="C145" s="7"/>
      <c r="D145" s="7"/>
      <c r="E145" s="7"/>
      <c r="F145" s="7"/>
      <c r="G145" s="7"/>
      <c r="H145" s="7"/>
      <c r="I145" s="7"/>
      <c r="J145" s="7"/>
      <c r="K145" s="7"/>
      <c r="L145" s="7"/>
      <c r="M145" s="7"/>
    </row>
    <row r="146" spans="2:13" x14ac:dyDescent="0.25">
      <c r="B146" s="7"/>
      <c r="C146" s="7"/>
      <c r="D146" s="7"/>
      <c r="E146" s="7"/>
      <c r="F146" s="7"/>
      <c r="G146" s="7"/>
      <c r="H146" s="7"/>
      <c r="I146" s="7"/>
      <c r="J146" s="7"/>
      <c r="K146" s="7"/>
      <c r="L146" s="7"/>
      <c r="M146" s="7"/>
    </row>
    <row r="147" spans="2:13" x14ac:dyDescent="0.25">
      <c r="B147" s="7"/>
      <c r="C147" s="7"/>
      <c r="D147" s="7"/>
      <c r="E147" s="7"/>
      <c r="F147" s="7"/>
      <c r="G147" s="7"/>
      <c r="H147" s="7"/>
      <c r="I147" s="7"/>
      <c r="J147" s="7"/>
      <c r="K147" s="7"/>
      <c r="L147" s="7"/>
      <c r="M147" s="7"/>
    </row>
    <row r="148" spans="2:13" x14ac:dyDescent="0.25">
      <c r="B148" s="7"/>
      <c r="C148" s="7"/>
      <c r="D148" s="7"/>
      <c r="E148" s="7"/>
      <c r="F148" s="7"/>
      <c r="G148" s="7"/>
      <c r="H148" s="7"/>
      <c r="I148" s="7"/>
      <c r="J148" s="7"/>
      <c r="K148" s="7"/>
      <c r="L148" s="7"/>
      <c r="M148" s="7"/>
    </row>
    <row r="149" spans="2:13" x14ac:dyDescent="0.25">
      <c r="B149" s="7"/>
      <c r="C149" s="7"/>
      <c r="D149" s="7"/>
      <c r="E149" s="7"/>
      <c r="F149" s="7"/>
      <c r="G149" s="7"/>
      <c r="H149" s="7"/>
      <c r="I149" s="7"/>
      <c r="J149" s="7"/>
      <c r="K149" s="7"/>
      <c r="L149" s="7"/>
      <c r="M149" s="7"/>
    </row>
    <row r="150" spans="2:13" x14ac:dyDescent="0.25">
      <c r="B150" s="7"/>
      <c r="C150" s="7"/>
      <c r="D150" s="7"/>
      <c r="E150" s="7"/>
      <c r="F150" s="7"/>
      <c r="G150" s="7"/>
      <c r="H150" s="7"/>
      <c r="I150" s="7"/>
      <c r="J150" s="7"/>
      <c r="K150" s="7"/>
      <c r="L150" s="7"/>
      <c r="M150" s="7"/>
    </row>
    <row r="151" spans="2:13" x14ac:dyDescent="0.25">
      <c r="B151" s="7"/>
      <c r="C151" s="7"/>
      <c r="D151" s="7"/>
      <c r="E151" s="7"/>
      <c r="F151" s="7"/>
      <c r="G151" s="7"/>
      <c r="H151" s="7"/>
      <c r="I151" s="7"/>
      <c r="J151" s="7"/>
      <c r="K151" s="7"/>
      <c r="L151" s="7"/>
      <c r="M151" s="7"/>
    </row>
    <row r="152" spans="2:13" x14ac:dyDescent="0.25">
      <c r="B152" s="7"/>
      <c r="C152" s="7"/>
      <c r="D152" s="7"/>
      <c r="E152" s="7"/>
      <c r="F152" s="7"/>
      <c r="G152" s="7"/>
      <c r="H152" s="7"/>
      <c r="I152" s="7"/>
      <c r="J152" s="7"/>
      <c r="K152" s="7"/>
      <c r="L152" s="7"/>
      <c r="M152" s="7"/>
    </row>
    <row r="153" spans="2:13" x14ac:dyDescent="0.25">
      <c r="B153" s="7"/>
      <c r="C153" s="7"/>
      <c r="D153" s="7"/>
      <c r="E153" s="7"/>
      <c r="F153" s="7"/>
      <c r="G153" s="7"/>
      <c r="H153" s="7"/>
      <c r="I153" s="7"/>
      <c r="J153" s="7"/>
      <c r="K153" s="7"/>
      <c r="L153" s="7"/>
      <c r="M153" s="7"/>
    </row>
    <row r="154" spans="2:13" x14ac:dyDescent="0.25">
      <c r="B154" s="7"/>
      <c r="C154" s="7"/>
      <c r="D154" s="7"/>
      <c r="E154" s="7"/>
      <c r="F154" s="7"/>
      <c r="G154" s="7"/>
      <c r="H154" s="7"/>
      <c r="I154" s="7"/>
      <c r="J154" s="7"/>
      <c r="K154" s="7"/>
      <c r="L154" s="7"/>
      <c r="M154" s="7"/>
    </row>
    <row r="155" spans="2:13" x14ac:dyDescent="0.25">
      <c r="B155" s="7"/>
      <c r="C155" s="7"/>
      <c r="D155" s="7"/>
      <c r="E155" s="7"/>
      <c r="F155" s="7"/>
      <c r="G155" s="7"/>
      <c r="H155" s="7"/>
      <c r="I155" s="7"/>
      <c r="J155" s="7"/>
      <c r="K155" s="7"/>
      <c r="L155" s="7"/>
      <c r="M155" s="7"/>
    </row>
    <row r="156" spans="2:13" x14ac:dyDescent="0.25">
      <c r="B156" s="7"/>
      <c r="C156" s="7"/>
      <c r="D156" s="7"/>
      <c r="E156" s="7"/>
      <c r="F156" s="7"/>
      <c r="G156" s="7"/>
      <c r="H156" s="7"/>
      <c r="I156" s="7"/>
      <c r="J156" s="7"/>
      <c r="K156" s="7"/>
      <c r="L156" s="7"/>
      <c r="M156" s="7"/>
    </row>
    <row r="157" spans="2:13" x14ac:dyDescent="0.25">
      <c r="B157" s="7"/>
      <c r="C157" s="7"/>
      <c r="D157" s="7"/>
      <c r="E157" s="7"/>
      <c r="F157" s="7"/>
      <c r="G157" s="7"/>
      <c r="H157" s="7"/>
      <c r="I157" s="7"/>
      <c r="J157" s="7"/>
      <c r="K157" s="7"/>
      <c r="L157" s="7"/>
      <c r="M157" s="7"/>
    </row>
    <row r="158" spans="2:13" x14ac:dyDescent="0.25">
      <c r="B158" s="7"/>
      <c r="C158" s="7"/>
      <c r="D158" s="7"/>
      <c r="E158" s="7"/>
      <c r="F158" s="7"/>
      <c r="G158" s="7"/>
      <c r="H158" s="7"/>
      <c r="I158" s="7"/>
      <c r="J158" s="7"/>
      <c r="K158" s="7"/>
      <c r="L158" s="7"/>
      <c r="M158" s="7"/>
    </row>
    <row r="159" spans="2:13" x14ac:dyDescent="0.25">
      <c r="B159" s="7"/>
      <c r="C159" s="7"/>
      <c r="D159" s="7"/>
      <c r="E159" s="7"/>
      <c r="F159" s="7"/>
      <c r="G159" s="7"/>
      <c r="H159" s="7"/>
      <c r="I159" s="7"/>
      <c r="J159" s="7"/>
      <c r="K159" s="7"/>
      <c r="L159" s="7"/>
      <c r="M159" s="7"/>
    </row>
    <row r="160" spans="2:13" x14ac:dyDescent="0.25">
      <c r="B160" s="7"/>
      <c r="C160" s="7"/>
      <c r="D160" s="7"/>
      <c r="E160" s="7"/>
      <c r="F160" s="7"/>
      <c r="G160" s="7"/>
      <c r="H160" s="7"/>
      <c r="I160" s="7"/>
      <c r="J160" s="7"/>
      <c r="K160" s="7"/>
      <c r="L160" s="7"/>
      <c r="M160" s="7"/>
    </row>
    <row r="161" spans="2:13" x14ac:dyDescent="0.25">
      <c r="B161" s="7"/>
      <c r="C161" s="7"/>
      <c r="D161" s="7"/>
      <c r="E161" s="7"/>
      <c r="F161" s="7"/>
      <c r="G161" s="7"/>
      <c r="H161" s="7"/>
      <c r="I161" s="7"/>
      <c r="J161" s="7"/>
      <c r="K161" s="7"/>
      <c r="L161" s="7"/>
      <c r="M161" s="7"/>
    </row>
    <row r="162" spans="2:13" x14ac:dyDescent="0.25">
      <c r="B162" s="7"/>
      <c r="C162" s="7"/>
      <c r="D162" s="7"/>
      <c r="E162" s="7"/>
      <c r="F162" s="7"/>
      <c r="G162" s="7"/>
      <c r="H162" s="7"/>
      <c r="I162" s="7"/>
      <c r="J162" s="7"/>
      <c r="K162" s="7"/>
      <c r="L162" s="7"/>
      <c r="M162" s="7"/>
    </row>
    <row r="163" spans="2:13" x14ac:dyDescent="0.25">
      <c r="B163" s="7"/>
      <c r="C163" s="7"/>
      <c r="D163" s="7"/>
      <c r="E163" s="7"/>
      <c r="F163" s="7"/>
      <c r="G163" s="7"/>
      <c r="H163" s="7"/>
      <c r="I163" s="7"/>
      <c r="J163" s="7"/>
      <c r="K163" s="7"/>
      <c r="L163" s="7"/>
      <c r="M163" s="7"/>
    </row>
    <row r="164" spans="2:13" x14ac:dyDescent="0.25">
      <c r="B164" s="7"/>
      <c r="C164" s="7"/>
      <c r="D164" s="7"/>
      <c r="E164" s="7"/>
      <c r="F164" s="7"/>
      <c r="G164" s="7"/>
      <c r="H164" s="7"/>
      <c r="I164" s="7"/>
      <c r="J164" s="7"/>
      <c r="K164" s="7"/>
      <c r="L164" s="7"/>
      <c r="M164" s="7"/>
    </row>
    <row r="165" spans="2:13" x14ac:dyDescent="0.25">
      <c r="B165" s="7"/>
      <c r="C165" s="7"/>
      <c r="D165" s="7"/>
      <c r="E165" s="7"/>
      <c r="F165" s="7"/>
      <c r="G165" s="7"/>
      <c r="H165" s="7"/>
      <c r="I165" s="7"/>
      <c r="J165" s="7"/>
      <c r="K165" s="7"/>
      <c r="L165" s="7"/>
      <c r="M165" s="7"/>
    </row>
    <row r="166" spans="2:13" x14ac:dyDescent="0.25">
      <c r="B166" s="7"/>
      <c r="C166" s="7"/>
      <c r="D166" s="7"/>
      <c r="E166" s="7"/>
      <c r="F166" s="7"/>
      <c r="G166" s="7"/>
      <c r="H166" s="7"/>
      <c r="I166" s="7"/>
      <c r="J166" s="7"/>
      <c r="K166" s="7"/>
      <c r="L166" s="7"/>
      <c r="M166" s="7"/>
    </row>
    <row r="167" spans="2:13" x14ac:dyDescent="0.25">
      <c r="B167" s="7"/>
      <c r="C167" s="7"/>
      <c r="D167" s="7"/>
      <c r="E167" s="7"/>
      <c r="F167" s="7"/>
      <c r="G167" s="7"/>
      <c r="H167" s="7"/>
      <c r="I167" s="7"/>
      <c r="J167" s="7"/>
      <c r="K167" s="7"/>
      <c r="L167" s="7"/>
      <c r="M167" s="7"/>
    </row>
    <row r="168" spans="2:13" x14ac:dyDescent="0.25">
      <c r="B168" s="7"/>
      <c r="C168" s="7"/>
      <c r="D168" s="7"/>
      <c r="E168" s="7"/>
      <c r="F168" s="7"/>
      <c r="G168" s="7"/>
      <c r="H168" s="7"/>
      <c r="I168" s="7"/>
      <c r="J168" s="7"/>
      <c r="K168" s="7"/>
      <c r="L168" s="7"/>
      <c r="M168" s="7"/>
    </row>
    <row r="169" spans="2:13" x14ac:dyDescent="0.25">
      <c r="B169" s="7"/>
      <c r="C169" s="7"/>
      <c r="D169" s="7"/>
      <c r="E169" s="7"/>
      <c r="F169" s="7"/>
      <c r="G169" s="7"/>
      <c r="H169" s="7"/>
      <c r="I169" s="7"/>
      <c r="J169" s="7"/>
      <c r="K169" s="7"/>
      <c r="L169" s="7"/>
      <c r="M169" s="7"/>
    </row>
    <row r="170" spans="2:13" x14ac:dyDescent="0.25">
      <c r="B170" s="7"/>
      <c r="C170" s="7"/>
      <c r="D170" s="7"/>
      <c r="E170" s="7"/>
      <c r="F170" s="7"/>
      <c r="G170" s="7"/>
      <c r="H170" s="7"/>
      <c r="I170" s="7"/>
      <c r="J170" s="7"/>
      <c r="K170" s="7"/>
      <c r="L170" s="7"/>
      <c r="M170" s="7"/>
    </row>
    <row r="171" spans="2:13" x14ac:dyDescent="0.25">
      <c r="B171" s="7"/>
      <c r="C171" s="7"/>
      <c r="D171" s="7"/>
      <c r="E171" s="7"/>
      <c r="F171" s="7"/>
      <c r="G171" s="7"/>
      <c r="H171" s="7"/>
      <c r="I171" s="7"/>
      <c r="J171" s="7"/>
      <c r="K171" s="7"/>
      <c r="L171" s="7"/>
      <c r="M171" s="7"/>
    </row>
    <row r="172" spans="2:13" x14ac:dyDescent="0.25">
      <c r="B172" s="7"/>
      <c r="C172" s="7"/>
      <c r="D172" s="7"/>
      <c r="E172" s="7"/>
      <c r="F172" s="7"/>
      <c r="G172" s="7"/>
      <c r="H172" s="7"/>
      <c r="I172" s="7"/>
      <c r="J172" s="7"/>
      <c r="K172" s="7"/>
      <c r="L172" s="7"/>
      <c r="M172" s="7"/>
    </row>
    <row r="173" spans="2:13" x14ac:dyDescent="0.25">
      <c r="B173" s="7"/>
      <c r="C173" s="7"/>
      <c r="D173" s="7"/>
      <c r="E173" s="7"/>
      <c r="F173" s="7"/>
      <c r="G173" s="7"/>
      <c r="H173" s="7"/>
      <c r="I173" s="7"/>
      <c r="J173" s="7"/>
      <c r="K173" s="7"/>
      <c r="L173" s="7"/>
      <c r="M173" s="7"/>
    </row>
    <row r="174" spans="2:13" x14ac:dyDescent="0.25">
      <c r="B174" s="7"/>
      <c r="C174" s="7"/>
      <c r="D174" s="7"/>
      <c r="E174" s="7"/>
      <c r="F174" s="7"/>
      <c r="G174" s="7"/>
      <c r="H174" s="7"/>
      <c r="I174" s="7"/>
      <c r="J174" s="7"/>
      <c r="K174" s="7"/>
      <c r="L174" s="7"/>
      <c r="M174" s="7"/>
    </row>
    <row r="175" spans="2:13" x14ac:dyDescent="0.25">
      <c r="B175" s="7"/>
      <c r="C175" s="7"/>
      <c r="D175" s="7"/>
      <c r="E175" s="7"/>
      <c r="F175" s="7"/>
      <c r="G175" s="7"/>
      <c r="H175" s="7"/>
      <c r="I175" s="7"/>
      <c r="J175" s="7"/>
      <c r="K175" s="7"/>
      <c r="L175" s="7"/>
      <c r="M175" s="7"/>
    </row>
    <row r="176" spans="2:13" x14ac:dyDescent="0.25">
      <c r="B176" s="7"/>
      <c r="C176" s="7"/>
      <c r="D176" s="7"/>
      <c r="E176" s="7"/>
      <c r="F176" s="7"/>
      <c r="G176" s="7"/>
      <c r="H176" s="7"/>
      <c r="I176" s="7"/>
      <c r="J176" s="7"/>
      <c r="K176" s="7"/>
      <c r="L176" s="7"/>
      <c r="M176" s="7"/>
    </row>
    <row r="177" spans="2:13" x14ac:dyDescent="0.25">
      <c r="B177" s="7"/>
      <c r="C177" s="7"/>
      <c r="D177" s="7"/>
      <c r="E177" s="7"/>
      <c r="F177" s="7"/>
      <c r="G177" s="7"/>
      <c r="H177" s="7"/>
      <c r="I177" s="7"/>
      <c r="J177" s="7"/>
      <c r="K177" s="7"/>
      <c r="L177" s="7"/>
      <c r="M177" s="7"/>
    </row>
    <row r="178" spans="2:13" x14ac:dyDescent="0.25">
      <c r="B178" s="7"/>
      <c r="C178" s="7"/>
      <c r="D178" s="7"/>
      <c r="E178" s="7"/>
      <c r="F178" s="7"/>
      <c r="G178" s="7"/>
      <c r="H178" s="7"/>
      <c r="I178" s="7"/>
      <c r="J178" s="7"/>
      <c r="K178" s="7"/>
      <c r="L178" s="7"/>
      <c r="M178" s="7"/>
    </row>
    <row r="179" spans="2:13" x14ac:dyDescent="0.25">
      <c r="B179" s="7"/>
      <c r="C179" s="7"/>
      <c r="D179" s="7"/>
      <c r="E179" s="7"/>
      <c r="F179" s="7"/>
      <c r="G179" s="7"/>
      <c r="H179" s="7"/>
      <c r="I179" s="7"/>
      <c r="J179" s="7"/>
      <c r="K179" s="7"/>
      <c r="L179" s="7"/>
      <c r="M179" s="7"/>
    </row>
    <row r="180" spans="2:13" x14ac:dyDescent="0.25">
      <c r="B180" s="7"/>
      <c r="C180" s="7"/>
      <c r="D180" s="7"/>
      <c r="E180" s="7"/>
      <c r="F180" s="7"/>
      <c r="G180" s="7"/>
      <c r="H180" s="7"/>
      <c r="I180" s="7"/>
      <c r="J180" s="7"/>
      <c r="K180" s="7"/>
      <c r="L180" s="7"/>
      <c r="M180" s="7"/>
    </row>
    <row r="181" spans="2:13" x14ac:dyDescent="0.25">
      <c r="B181" s="7"/>
      <c r="C181" s="7"/>
      <c r="D181" s="7"/>
      <c r="E181" s="7"/>
      <c r="F181" s="7"/>
      <c r="G181" s="7"/>
      <c r="H181" s="7"/>
      <c r="I181" s="7"/>
      <c r="J181" s="7"/>
      <c r="K181" s="7"/>
      <c r="L181" s="7"/>
      <c r="M181" s="7"/>
    </row>
    <row r="182" spans="2:13" x14ac:dyDescent="0.25">
      <c r="B182" s="7"/>
      <c r="C182" s="7"/>
      <c r="D182" s="7"/>
      <c r="E182" s="7"/>
      <c r="F182" s="7"/>
      <c r="G182" s="7"/>
      <c r="H182" s="7"/>
      <c r="I182" s="7"/>
      <c r="J182" s="7"/>
      <c r="K182" s="7"/>
      <c r="L182" s="7"/>
      <c r="M182" s="7"/>
    </row>
    <row r="183" spans="2:13" x14ac:dyDescent="0.25">
      <c r="B183" s="7"/>
      <c r="C183" s="7"/>
      <c r="D183" s="7"/>
      <c r="E183" s="7"/>
      <c r="F183" s="7"/>
      <c r="G183" s="7"/>
      <c r="H183" s="7"/>
      <c r="I183" s="7"/>
      <c r="J183" s="7"/>
      <c r="K183" s="7"/>
      <c r="L183" s="7"/>
      <c r="M183" s="7"/>
    </row>
    <row r="184" spans="2:13" x14ac:dyDescent="0.25">
      <c r="B184" s="7"/>
      <c r="C184" s="7"/>
      <c r="D184" s="7"/>
      <c r="E184" s="7"/>
      <c r="F184" s="7"/>
      <c r="G184" s="7"/>
      <c r="H184" s="7"/>
      <c r="I184" s="7"/>
      <c r="J184" s="7"/>
      <c r="K184" s="7"/>
      <c r="L184" s="7"/>
      <c r="M184" s="7"/>
    </row>
    <row r="185" spans="2:13" x14ac:dyDescent="0.25">
      <c r="B185" s="7"/>
      <c r="C185" s="7"/>
      <c r="D185" s="7"/>
      <c r="E185" s="7"/>
      <c r="F185" s="7"/>
      <c r="G185" s="7"/>
      <c r="H185" s="7"/>
      <c r="I185" s="7"/>
      <c r="J185" s="7"/>
      <c r="K185" s="7"/>
      <c r="L185" s="7"/>
      <c r="M185" s="7"/>
    </row>
    <row r="186" spans="2:13" x14ac:dyDescent="0.25">
      <c r="B186" s="7"/>
      <c r="C186" s="7"/>
      <c r="D186" s="7"/>
      <c r="E186" s="7"/>
      <c r="F186" s="7"/>
      <c r="G186" s="7"/>
      <c r="H186" s="7"/>
      <c r="I186" s="7"/>
      <c r="J186" s="7"/>
      <c r="K186" s="7"/>
      <c r="L186" s="7"/>
      <c r="M186" s="7"/>
    </row>
    <row r="187" spans="2:13" x14ac:dyDescent="0.25">
      <c r="B187" s="7"/>
      <c r="C187" s="7"/>
      <c r="D187" s="7"/>
      <c r="E187" s="7"/>
      <c r="F187" s="7"/>
      <c r="G187" s="7"/>
      <c r="H187" s="7"/>
      <c r="I187" s="7"/>
      <c r="J187" s="7"/>
      <c r="K187" s="7"/>
      <c r="L187" s="7"/>
      <c r="M187" s="7"/>
    </row>
    <row r="188" spans="2:13" x14ac:dyDescent="0.25">
      <c r="B188" s="7"/>
      <c r="C188" s="7"/>
      <c r="D188" s="7"/>
      <c r="E188" s="7"/>
      <c r="F188" s="7"/>
      <c r="G188" s="7"/>
      <c r="H188" s="7"/>
      <c r="I188" s="7"/>
      <c r="J188" s="7"/>
      <c r="K188" s="7"/>
      <c r="L188" s="7"/>
      <c r="M188" s="7"/>
    </row>
    <row r="189" spans="2:13" x14ac:dyDescent="0.25">
      <c r="B189" s="7"/>
      <c r="C189" s="7"/>
      <c r="D189" s="7"/>
      <c r="E189" s="7"/>
      <c r="F189" s="7"/>
      <c r="G189" s="7"/>
      <c r="H189" s="7"/>
      <c r="I189" s="7"/>
      <c r="J189" s="7"/>
      <c r="K189" s="7"/>
      <c r="L189" s="7"/>
      <c r="M189" s="7"/>
    </row>
    <row r="190" spans="2:13" x14ac:dyDescent="0.25">
      <c r="B190" s="7"/>
      <c r="C190" s="7"/>
      <c r="D190" s="7"/>
      <c r="E190" s="7"/>
      <c r="F190" s="7"/>
      <c r="G190" s="7"/>
      <c r="H190" s="7"/>
      <c r="I190" s="7"/>
      <c r="J190" s="7"/>
      <c r="K190" s="7"/>
      <c r="L190" s="7"/>
      <c r="M190" s="7"/>
    </row>
    <row r="191" spans="2:13" x14ac:dyDescent="0.25">
      <c r="B191" s="7"/>
      <c r="C191" s="7"/>
      <c r="D191" s="7"/>
      <c r="E191" s="7"/>
      <c r="F191" s="7"/>
      <c r="G191" s="7"/>
      <c r="H191" s="7"/>
      <c r="I191" s="7"/>
      <c r="J191" s="7"/>
      <c r="K191" s="7"/>
      <c r="L191" s="7"/>
      <c r="M191" s="7"/>
    </row>
    <row r="192" spans="2:13" x14ac:dyDescent="0.25">
      <c r="B192" s="7"/>
      <c r="C192" s="7"/>
      <c r="D192" s="7"/>
      <c r="E192" s="7"/>
      <c r="F192" s="7"/>
      <c r="G192" s="7"/>
      <c r="H192" s="7"/>
      <c r="I192" s="7"/>
      <c r="J192" s="7"/>
      <c r="K192" s="7"/>
      <c r="L192" s="7"/>
      <c r="M192" s="7"/>
    </row>
    <row r="193" spans="2:13" x14ac:dyDescent="0.25">
      <c r="B193" s="7"/>
      <c r="C193" s="7"/>
      <c r="D193" s="7"/>
      <c r="E193" s="7"/>
      <c r="F193" s="7"/>
      <c r="G193" s="7"/>
      <c r="H193" s="7"/>
      <c r="I193" s="7"/>
      <c r="J193" s="7"/>
      <c r="K193" s="7"/>
      <c r="L193" s="7"/>
      <c r="M193" s="7"/>
    </row>
    <row r="194" spans="2:13" x14ac:dyDescent="0.25">
      <c r="B194" s="7"/>
      <c r="C194" s="7"/>
      <c r="D194" s="7"/>
      <c r="E194" s="7"/>
      <c r="F194" s="7"/>
      <c r="G194" s="7"/>
      <c r="H194" s="7"/>
      <c r="I194" s="7"/>
      <c r="J194" s="7"/>
      <c r="K194" s="7"/>
      <c r="L194" s="7"/>
      <c r="M194" s="7"/>
    </row>
    <row r="195" spans="2:13" x14ac:dyDescent="0.25">
      <c r="B195" s="7"/>
      <c r="C195" s="7"/>
      <c r="D195" s="7"/>
      <c r="E195" s="7"/>
      <c r="F195" s="7"/>
      <c r="G195" s="7"/>
      <c r="H195" s="7"/>
      <c r="I195" s="7"/>
      <c r="J195" s="7"/>
      <c r="K195" s="7"/>
      <c r="L195" s="7"/>
      <c r="M195" s="7"/>
    </row>
    <row r="196" spans="2:13" x14ac:dyDescent="0.25">
      <c r="B196" s="7"/>
      <c r="C196" s="7"/>
      <c r="D196" s="7"/>
      <c r="E196" s="7"/>
      <c r="F196" s="7"/>
      <c r="G196" s="7"/>
      <c r="H196" s="7"/>
      <c r="I196" s="7"/>
      <c r="J196" s="7"/>
      <c r="K196" s="7"/>
      <c r="L196" s="7"/>
      <c r="M196" s="7"/>
    </row>
    <row r="197" spans="2:13" x14ac:dyDescent="0.25">
      <c r="B197" s="7"/>
      <c r="C197" s="7"/>
      <c r="D197" s="7"/>
      <c r="E197" s="7"/>
      <c r="F197" s="7"/>
      <c r="G197" s="7"/>
      <c r="H197" s="7"/>
      <c r="I197" s="7"/>
      <c r="J197" s="7"/>
      <c r="K197" s="7"/>
      <c r="L197" s="7"/>
      <c r="M197" s="7"/>
    </row>
    <row r="198" spans="2:13" x14ac:dyDescent="0.25">
      <c r="B198" s="7"/>
      <c r="C198" s="7"/>
      <c r="D198" s="7"/>
      <c r="E198" s="7"/>
      <c r="F198" s="7"/>
      <c r="G198" s="7"/>
      <c r="H198" s="7"/>
      <c r="I198" s="7"/>
      <c r="J198" s="7"/>
      <c r="K198" s="7"/>
      <c r="L198" s="7"/>
      <c r="M198" s="7"/>
    </row>
    <row r="199" spans="2:13" x14ac:dyDescent="0.25">
      <c r="B199" s="7"/>
      <c r="C199" s="7"/>
      <c r="D199" s="7"/>
      <c r="E199" s="7"/>
      <c r="F199" s="7"/>
      <c r="G199" s="7"/>
      <c r="H199" s="7"/>
      <c r="I199" s="7"/>
      <c r="J199" s="7"/>
      <c r="K199" s="7"/>
      <c r="L199" s="7"/>
      <c r="M199" s="7"/>
    </row>
    <row r="200" spans="2:13" x14ac:dyDescent="0.25">
      <c r="B200" s="7"/>
      <c r="C200" s="7"/>
      <c r="D200" s="7"/>
      <c r="E200" s="7"/>
      <c r="F200" s="7"/>
      <c r="G200" s="7"/>
      <c r="H200" s="7"/>
      <c r="I200" s="7"/>
      <c r="J200" s="7"/>
      <c r="K200" s="7"/>
      <c r="L200" s="7"/>
      <c r="M200" s="7"/>
    </row>
    <row r="201" spans="2:13" x14ac:dyDescent="0.25">
      <c r="B201" s="7"/>
      <c r="C201" s="7"/>
      <c r="D201" s="7"/>
      <c r="E201" s="7"/>
      <c r="F201" s="7"/>
      <c r="G201" s="7"/>
      <c r="H201" s="7"/>
      <c r="I201" s="7"/>
      <c r="J201" s="7"/>
      <c r="K201" s="7"/>
      <c r="L201" s="7"/>
      <c r="M201" s="7"/>
    </row>
    <row r="202" spans="2:13" x14ac:dyDescent="0.25">
      <c r="B202" s="7"/>
      <c r="C202" s="7"/>
      <c r="D202" s="7"/>
      <c r="E202" s="7"/>
      <c r="F202" s="7"/>
      <c r="G202" s="7"/>
      <c r="H202" s="7"/>
      <c r="I202" s="7"/>
      <c r="J202" s="7"/>
      <c r="K202" s="7"/>
      <c r="L202" s="7"/>
      <c r="M202" s="7"/>
    </row>
    <row r="203" spans="2:13" x14ac:dyDescent="0.25">
      <c r="B203" s="7"/>
      <c r="C203" s="7"/>
      <c r="D203" s="7"/>
      <c r="E203" s="7"/>
      <c r="F203" s="7"/>
      <c r="G203" s="7"/>
      <c r="H203" s="7"/>
      <c r="I203" s="7"/>
      <c r="J203" s="7"/>
      <c r="K203" s="7"/>
      <c r="L203" s="7"/>
      <c r="M203" s="7"/>
    </row>
    <row r="204" spans="2:13" x14ac:dyDescent="0.25">
      <c r="B204" s="7"/>
      <c r="C204" s="7"/>
      <c r="D204" s="7"/>
      <c r="E204" s="7"/>
      <c r="F204" s="7"/>
      <c r="G204" s="7"/>
      <c r="H204" s="7"/>
      <c r="I204" s="7"/>
      <c r="J204" s="7"/>
      <c r="K204" s="7"/>
      <c r="L204" s="7"/>
      <c r="M204" s="7"/>
    </row>
    <row r="205" spans="2:13" x14ac:dyDescent="0.25">
      <c r="B205" s="7"/>
      <c r="C205" s="7"/>
      <c r="D205" s="7"/>
      <c r="E205" s="7"/>
      <c r="F205" s="7"/>
      <c r="G205" s="7"/>
      <c r="H205" s="7"/>
      <c r="I205" s="7"/>
      <c r="J205" s="7"/>
      <c r="K205" s="7"/>
      <c r="L205" s="7"/>
      <c r="M205" s="7"/>
    </row>
    <row r="206" spans="2:13" x14ac:dyDescent="0.25">
      <c r="B206" s="7"/>
      <c r="C206" s="7"/>
      <c r="D206" s="7"/>
      <c r="E206" s="7"/>
      <c r="F206" s="7"/>
      <c r="G206" s="7"/>
      <c r="H206" s="7"/>
      <c r="I206" s="7"/>
      <c r="J206" s="7"/>
      <c r="K206" s="7"/>
      <c r="L206" s="7"/>
      <c r="M206" s="7"/>
    </row>
    <row r="207" spans="2:13" x14ac:dyDescent="0.25">
      <c r="B207" s="7"/>
      <c r="C207" s="7"/>
      <c r="D207" s="7"/>
      <c r="E207" s="7"/>
      <c r="F207" s="7"/>
      <c r="G207" s="7"/>
      <c r="H207" s="7"/>
      <c r="I207" s="7"/>
      <c r="J207" s="7"/>
      <c r="K207" s="7"/>
      <c r="L207" s="7"/>
      <c r="M207" s="7"/>
    </row>
    <row r="208" spans="2:13" x14ac:dyDescent="0.25">
      <c r="B208" s="7"/>
      <c r="C208" s="7"/>
      <c r="D208" s="7"/>
      <c r="E208" s="7"/>
      <c r="F208" s="7"/>
      <c r="G208" s="7"/>
      <c r="H208" s="7"/>
      <c r="I208" s="7"/>
      <c r="J208" s="7"/>
      <c r="K208" s="7"/>
      <c r="L208" s="7"/>
      <c r="M208" s="7"/>
    </row>
    <row r="209" spans="2:13" x14ac:dyDescent="0.25">
      <c r="B209" s="7"/>
      <c r="C209" s="7"/>
      <c r="D209" s="7"/>
      <c r="E209" s="7"/>
      <c r="F209" s="7"/>
      <c r="G209" s="7"/>
      <c r="H209" s="7"/>
      <c r="I209" s="7"/>
      <c r="J209" s="7"/>
      <c r="K209" s="7"/>
      <c r="L209" s="7"/>
      <c r="M209" s="7"/>
    </row>
    <row r="210" spans="2:13" x14ac:dyDescent="0.25">
      <c r="B210" s="7"/>
      <c r="C210" s="7"/>
      <c r="D210" s="7"/>
      <c r="E210" s="7"/>
      <c r="F210" s="7"/>
      <c r="G210" s="7"/>
      <c r="H210" s="7"/>
      <c r="I210" s="7"/>
      <c r="J210" s="7"/>
      <c r="K210" s="7"/>
      <c r="L210" s="7"/>
      <c r="M210" s="7"/>
    </row>
    <row r="211" spans="2:13" x14ac:dyDescent="0.25">
      <c r="B211" s="7"/>
      <c r="C211" s="7"/>
      <c r="D211" s="7"/>
      <c r="E211" s="7"/>
      <c r="F211" s="7"/>
      <c r="G211" s="7"/>
      <c r="H211" s="7"/>
      <c r="I211" s="7"/>
      <c r="J211" s="7"/>
      <c r="K211" s="7"/>
      <c r="L211" s="7"/>
      <c r="M211" s="7"/>
    </row>
    <row r="212" spans="2:13" x14ac:dyDescent="0.25">
      <c r="B212" s="7"/>
      <c r="C212" s="7"/>
      <c r="D212" s="7"/>
      <c r="E212" s="7"/>
      <c r="F212" s="7"/>
      <c r="G212" s="7"/>
      <c r="H212" s="7"/>
      <c r="I212" s="7"/>
      <c r="J212" s="7"/>
      <c r="K212" s="7"/>
      <c r="L212" s="7"/>
      <c r="M212" s="7"/>
    </row>
    <row r="213" spans="2:13" x14ac:dyDescent="0.25">
      <c r="B213" s="7"/>
      <c r="C213" s="7"/>
      <c r="D213" s="7"/>
      <c r="E213" s="7"/>
      <c r="F213" s="7"/>
      <c r="G213" s="7"/>
      <c r="H213" s="7"/>
      <c r="I213" s="7"/>
      <c r="J213" s="7"/>
      <c r="K213" s="7"/>
      <c r="L213" s="7"/>
      <c r="M213" s="7"/>
    </row>
    <row r="214" spans="2:13" x14ac:dyDescent="0.25">
      <c r="B214" s="7"/>
      <c r="C214" s="7"/>
      <c r="D214" s="7"/>
      <c r="E214" s="7"/>
      <c r="F214" s="7"/>
      <c r="G214" s="7"/>
      <c r="H214" s="7"/>
      <c r="I214" s="7"/>
      <c r="J214" s="7"/>
      <c r="K214" s="7"/>
      <c r="L214" s="7"/>
      <c r="M214" s="7"/>
    </row>
    <row r="215" spans="2:13" x14ac:dyDescent="0.25">
      <c r="B215" s="7"/>
      <c r="C215" s="7"/>
      <c r="D215" s="7"/>
      <c r="E215" s="7"/>
      <c r="F215" s="7"/>
      <c r="G215" s="7"/>
      <c r="H215" s="7"/>
      <c r="I215" s="7"/>
      <c r="J215" s="7"/>
      <c r="K215" s="7"/>
      <c r="L215" s="7"/>
      <c r="M215" s="7"/>
    </row>
    <row r="216" spans="2:13" x14ac:dyDescent="0.25">
      <c r="B216" s="7"/>
      <c r="C216" s="7"/>
      <c r="D216" s="7"/>
      <c r="E216" s="7"/>
      <c r="F216" s="7"/>
      <c r="G216" s="7"/>
      <c r="H216" s="7"/>
      <c r="I216" s="7"/>
      <c r="J216" s="7"/>
      <c r="K216" s="7"/>
      <c r="L216" s="7"/>
      <c r="M216" s="7"/>
    </row>
    <row r="217" spans="2:13" x14ac:dyDescent="0.25">
      <c r="B217" s="7"/>
      <c r="C217" s="7"/>
      <c r="D217" s="7"/>
      <c r="E217" s="7"/>
      <c r="F217" s="7"/>
      <c r="G217" s="7"/>
      <c r="H217" s="7"/>
      <c r="I217" s="7"/>
      <c r="J217" s="7"/>
      <c r="K217" s="7"/>
      <c r="L217" s="7"/>
      <c r="M217" s="7"/>
    </row>
    <row r="218" spans="2:13" x14ac:dyDescent="0.25">
      <c r="B218" s="7"/>
      <c r="C218" s="7"/>
      <c r="D218" s="7"/>
      <c r="E218" s="7"/>
      <c r="F218" s="7"/>
      <c r="G218" s="7"/>
      <c r="H218" s="7"/>
      <c r="I218" s="7"/>
      <c r="J218" s="7"/>
      <c r="K218" s="7"/>
      <c r="L218" s="7"/>
      <c r="M218" s="7"/>
    </row>
    <row r="219" spans="2:13" x14ac:dyDescent="0.25">
      <c r="B219" s="7"/>
      <c r="C219" s="7"/>
      <c r="D219" s="7"/>
      <c r="E219" s="7"/>
      <c r="F219" s="7"/>
      <c r="G219" s="7"/>
      <c r="H219" s="7"/>
      <c r="I219" s="7"/>
      <c r="J219" s="7"/>
      <c r="K219" s="7"/>
      <c r="L219" s="7"/>
      <c r="M219" s="7"/>
    </row>
    <row r="220" spans="2:13" x14ac:dyDescent="0.25">
      <c r="B220" s="7"/>
      <c r="C220" s="7"/>
      <c r="D220" s="7"/>
      <c r="E220" s="7"/>
      <c r="F220" s="7"/>
      <c r="G220" s="7"/>
      <c r="H220" s="7"/>
      <c r="I220" s="7"/>
      <c r="J220" s="7"/>
      <c r="K220" s="7"/>
      <c r="L220" s="7"/>
      <c r="M220" s="7"/>
    </row>
    <row r="221" spans="2:13" x14ac:dyDescent="0.25">
      <c r="B221" s="7"/>
      <c r="C221" s="7"/>
      <c r="D221" s="7"/>
      <c r="E221" s="7"/>
      <c r="F221" s="7"/>
      <c r="G221" s="7"/>
      <c r="H221" s="7"/>
      <c r="I221" s="7"/>
      <c r="J221" s="7"/>
      <c r="K221" s="7"/>
      <c r="L221" s="7"/>
      <c r="M221" s="7"/>
    </row>
    <row r="222" spans="2:13" x14ac:dyDescent="0.25">
      <c r="B222" s="7"/>
      <c r="C222" s="7"/>
      <c r="D222" s="7"/>
      <c r="E222" s="7"/>
      <c r="F222" s="7"/>
      <c r="G222" s="7"/>
      <c r="H222" s="7"/>
      <c r="I222" s="7"/>
      <c r="J222" s="7"/>
      <c r="K222" s="7"/>
      <c r="L222" s="7"/>
      <c r="M222" s="7"/>
    </row>
    <row r="223" spans="2:13" x14ac:dyDescent="0.25">
      <c r="B223" s="7"/>
      <c r="C223" s="7"/>
      <c r="D223" s="7"/>
      <c r="E223" s="7"/>
      <c r="F223" s="7"/>
      <c r="G223" s="7"/>
      <c r="H223" s="7"/>
      <c r="I223" s="7"/>
      <c r="J223" s="7"/>
      <c r="K223" s="7"/>
      <c r="L223" s="7"/>
      <c r="M223" s="7"/>
    </row>
    <row r="224" spans="2:13" x14ac:dyDescent="0.25">
      <c r="B224" s="7"/>
      <c r="C224" s="7"/>
      <c r="D224" s="7"/>
      <c r="E224" s="7"/>
      <c r="F224" s="7"/>
      <c r="G224" s="7"/>
      <c r="H224" s="7"/>
      <c r="I224" s="7"/>
      <c r="J224" s="7"/>
      <c r="K224" s="7"/>
      <c r="L224" s="7"/>
      <c r="M224" s="7"/>
    </row>
    <row r="225" spans="2:13" x14ac:dyDescent="0.25">
      <c r="B225" s="7"/>
      <c r="C225" s="7"/>
      <c r="D225" s="7"/>
      <c r="E225" s="7"/>
      <c r="F225" s="7"/>
      <c r="G225" s="7"/>
      <c r="H225" s="7"/>
      <c r="I225" s="7"/>
      <c r="J225" s="7"/>
      <c r="K225" s="7"/>
      <c r="L225" s="7"/>
      <c r="M225" s="7"/>
    </row>
    <row r="226" spans="2:13" x14ac:dyDescent="0.25">
      <c r="B226" s="7"/>
      <c r="C226" s="7"/>
      <c r="D226" s="7"/>
      <c r="E226" s="7"/>
      <c r="F226" s="7"/>
      <c r="G226" s="7"/>
      <c r="H226" s="7"/>
      <c r="I226" s="7"/>
      <c r="J226" s="7"/>
      <c r="K226" s="7"/>
      <c r="L226" s="7"/>
      <c r="M226" s="7"/>
    </row>
    <row r="227" spans="2:13" x14ac:dyDescent="0.25">
      <c r="B227" s="7"/>
      <c r="C227" s="7"/>
      <c r="D227" s="7"/>
      <c r="E227" s="7"/>
      <c r="F227" s="7"/>
      <c r="G227" s="7"/>
      <c r="H227" s="7"/>
      <c r="I227" s="7"/>
      <c r="J227" s="7"/>
      <c r="K227" s="7"/>
      <c r="L227" s="7"/>
      <c r="M227" s="7"/>
    </row>
    <row r="228" spans="2:13" x14ac:dyDescent="0.25">
      <c r="B228" s="7"/>
      <c r="C228" s="7"/>
      <c r="D228" s="7"/>
      <c r="E228" s="7"/>
      <c r="F228" s="7"/>
      <c r="G228" s="7"/>
      <c r="H228" s="7"/>
      <c r="I228" s="7"/>
      <c r="J228" s="7"/>
      <c r="K228" s="7"/>
      <c r="L228" s="7"/>
      <c r="M228" s="7"/>
    </row>
    <row r="229" spans="2:13" x14ac:dyDescent="0.25">
      <c r="B229" s="7"/>
      <c r="C229" s="7"/>
      <c r="D229" s="7"/>
      <c r="E229" s="7"/>
      <c r="F229" s="7"/>
      <c r="G229" s="7"/>
      <c r="H229" s="7"/>
      <c r="I229" s="7"/>
      <c r="J229" s="7"/>
      <c r="K229" s="7"/>
      <c r="L229" s="7"/>
      <c r="M229" s="7"/>
    </row>
  </sheetData>
  <mergeCells count="4">
    <mergeCell ref="B2:B3"/>
    <mergeCell ref="C2:D3"/>
    <mergeCell ref="E2:E3"/>
    <mergeCell ref="G2:H2"/>
  </mergeCell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66F7-E32C-4C6E-90F2-ABF77B0215A8}">
  <sheetPr>
    <tabColor rgb="FFFFC000"/>
  </sheetPr>
  <dimension ref="A1:BG154"/>
  <sheetViews>
    <sheetView zoomScale="120" zoomScaleNormal="120" workbookViewId="0">
      <selection activeCell="G130" sqref="G130"/>
    </sheetView>
  </sheetViews>
  <sheetFormatPr defaultRowHeight="15" x14ac:dyDescent="0.25"/>
  <cols>
    <col min="1" max="1" width="18" style="7" customWidth="1"/>
    <col min="2" max="2" width="6.28515625" style="7" customWidth="1"/>
    <col min="3" max="3" width="12.7109375" bestFit="1" customWidth="1"/>
    <col min="4" max="4" width="8" bestFit="1" customWidth="1"/>
    <col min="5" max="5" width="9.5703125" bestFit="1" customWidth="1"/>
    <col min="6" max="7" width="12.7109375" bestFit="1" customWidth="1"/>
    <col min="8" max="8" width="12.7109375" customWidth="1"/>
    <col min="9" max="9" width="12.7109375" bestFit="1" customWidth="1"/>
    <col min="10" max="10" width="12.7109375" customWidth="1"/>
    <col min="11" max="12" width="13.85546875" bestFit="1" customWidth="1"/>
    <col min="13" max="13" width="12.7109375" bestFit="1" customWidth="1"/>
    <col min="14" max="15" width="13.85546875" bestFit="1" customWidth="1"/>
    <col min="16" max="16" width="5.42578125" bestFit="1" customWidth="1"/>
    <col min="17" max="18" width="5.42578125" style="38" bestFit="1" customWidth="1"/>
    <col min="19" max="19" width="5.42578125" style="38" customWidth="1"/>
    <col min="20" max="21" width="5.42578125" style="38" bestFit="1" customWidth="1"/>
    <col min="22" max="22" width="5.42578125" style="7" bestFit="1" customWidth="1"/>
    <col min="23" max="25" width="5.140625" style="7" bestFit="1" customWidth="1"/>
    <col min="26" max="26" width="5.42578125" style="7" bestFit="1" customWidth="1"/>
    <col min="27" max="28" width="5" style="7" bestFit="1" customWidth="1"/>
    <col min="29" max="59" width="9.140625" style="7"/>
  </cols>
  <sheetData>
    <row r="1" spans="2:23" ht="15" customHeight="1" x14ac:dyDescent="0.25">
      <c r="C1" s="7"/>
      <c r="D1" s="7"/>
      <c r="E1" s="7"/>
      <c r="F1" s="7"/>
      <c r="G1" s="7"/>
      <c r="H1" s="7"/>
      <c r="I1" s="93" t="s">
        <v>60</v>
      </c>
      <c r="J1" s="93"/>
      <c r="K1" s="93"/>
      <c r="L1" s="93"/>
      <c r="M1" s="93"/>
      <c r="N1" s="93"/>
      <c r="O1" s="93"/>
      <c r="P1" s="7"/>
    </row>
    <row r="2" spans="2:23" ht="15" customHeight="1" x14ac:dyDescent="0.25">
      <c r="C2" s="96" t="s">
        <v>89</v>
      </c>
      <c r="D2" s="94" t="s">
        <v>63</v>
      </c>
      <c r="E2" s="94"/>
      <c r="F2" s="25">
        <v>100</v>
      </c>
      <c r="G2" s="66" t="s">
        <v>22</v>
      </c>
      <c r="H2" s="47">
        <f>ROUND((F2*F3),-1)</f>
        <v>60</v>
      </c>
      <c r="I2" s="93"/>
      <c r="J2" s="93"/>
      <c r="K2" s="93"/>
      <c r="L2" s="93"/>
      <c r="M2" s="93"/>
      <c r="N2" s="93"/>
      <c r="O2" s="93"/>
      <c r="P2" s="44"/>
    </row>
    <row r="3" spans="2:23" x14ac:dyDescent="0.25">
      <c r="C3" s="96"/>
      <c r="D3" s="95" t="s">
        <v>47</v>
      </c>
      <c r="E3" s="95"/>
      <c r="F3" s="34">
        <v>0.6</v>
      </c>
      <c r="G3" s="66" t="s">
        <v>23</v>
      </c>
      <c r="H3" s="25">
        <v>1</v>
      </c>
      <c r="I3" s="93"/>
      <c r="J3" s="93"/>
      <c r="K3" s="93"/>
      <c r="L3" s="93"/>
      <c r="M3" s="93"/>
      <c r="N3" s="93"/>
      <c r="O3" s="93"/>
      <c r="P3" s="44"/>
      <c r="S3" s="39"/>
      <c r="T3" s="39"/>
      <c r="V3" s="37"/>
    </row>
    <row r="4" spans="2:23" ht="15.75" x14ac:dyDescent="0.25">
      <c r="C4" s="7"/>
      <c r="D4" s="95" t="s">
        <v>91</v>
      </c>
      <c r="E4" s="95"/>
      <c r="F4" s="75">
        <v>10</v>
      </c>
      <c r="G4" s="66" t="s">
        <v>90</v>
      </c>
      <c r="H4" s="76">
        <v>0.5</v>
      </c>
      <c r="I4" s="93"/>
      <c r="J4" s="93"/>
      <c r="K4" s="93"/>
      <c r="L4" s="93"/>
      <c r="M4" s="93"/>
      <c r="N4" s="93"/>
      <c r="O4" s="93"/>
      <c r="P4" s="44"/>
      <c r="S4" s="39"/>
      <c r="T4" s="40"/>
    </row>
    <row r="5" spans="2:23" x14ac:dyDescent="0.25">
      <c r="C5" s="7"/>
      <c r="D5" s="90" t="s">
        <v>46</v>
      </c>
      <c r="E5" s="91"/>
      <c r="F5" s="92"/>
      <c r="G5" s="7"/>
      <c r="H5" s="7"/>
      <c r="I5" s="7"/>
      <c r="J5" s="7"/>
      <c r="K5" s="7"/>
      <c r="L5" s="7"/>
      <c r="M5" s="7"/>
      <c r="N5" s="7"/>
      <c r="O5" s="7"/>
      <c r="P5" s="55"/>
      <c r="S5" s="39"/>
      <c r="T5" s="40"/>
    </row>
    <row r="6" spans="2:23" x14ac:dyDescent="0.25">
      <c r="C6" s="7"/>
      <c r="D6" s="66" t="s">
        <v>34</v>
      </c>
      <c r="E6" s="66" t="s">
        <v>45</v>
      </c>
      <c r="F6" s="66" t="s">
        <v>35</v>
      </c>
      <c r="G6" s="66" t="s">
        <v>36</v>
      </c>
      <c r="H6" s="66" t="s">
        <v>37</v>
      </c>
      <c r="I6" s="66" t="s">
        <v>38</v>
      </c>
      <c r="J6" s="66" t="s">
        <v>39</v>
      </c>
      <c r="K6" s="66" t="s">
        <v>40</v>
      </c>
      <c r="L6" s="66" t="s">
        <v>41</v>
      </c>
      <c r="M6" s="7"/>
      <c r="N6" s="7"/>
      <c r="O6" s="7"/>
      <c r="P6" s="59">
        <v>0</v>
      </c>
    </row>
    <row r="7" spans="2:23" ht="15" customHeight="1" x14ac:dyDescent="0.25">
      <c r="B7" s="88">
        <v>1</v>
      </c>
      <c r="C7" s="26" t="s">
        <v>24</v>
      </c>
      <c r="D7" s="27">
        <f>$H$3</f>
        <v>1</v>
      </c>
      <c r="E7" s="27">
        <f>$H$3+D7</f>
        <v>2</v>
      </c>
      <c r="F7" s="35">
        <f>MROUND(($H$2*0.4),H4)</f>
        <v>24</v>
      </c>
      <c r="G7" s="35">
        <f>MROUND(($H$2*0.2),H4)</f>
        <v>12</v>
      </c>
      <c r="H7" s="35">
        <f>MROUND(($H$2*0.13),H4)</f>
        <v>8</v>
      </c>
      <c r="I7" s="35">
        <f>MROUND(($H$2*0.1),H4)</f>
        <v>6</v>
      </c>
      <c r="J7" s="35">
        <f>MROUND(($H$2*0.075),H4)</f>
        <v>4.5</v>
      </c>
      <c r="K7" s="35">
        <f>MROUND(($H$2*0.07),H4)</f>
        <v>4</v>
      </c>
      <c r="L7" s="35">
        <f>MROUND(($H$2*0.06),H4)</f>
        <v>3.5</v>
      </c>
      <c r="M7" s="7"/>
      <c r="N7" s="7"/>
      <c r="O7" s="7"/>
      <c r="P7" s="60">
        <f>L7</f>
        <v>3.5</v>
      </c>
    </row>
    <row r="8" spans="2:23" ht="15" customHeight="1" x14ac:dyDescent="0.25">
      <c r="B8" s="88"/>
      <c r="C8" s="26" t="s">
        <v>25</v>
      </c>
      <c r="D8" s="27">
        <f>D7*2</f>
        <v>2</v>
      </c>
      <c r="E8" s="27">
        <f>$H$3+D7+D8</f>
        <v>4</v>
      </c>
      <c r="F8" s="36"/>
      <c r="G8" s="36">
        <f>MROUND(($H$2*0.6),H4)-G7</f>
        <v>24</v>
      </c>
      <c r="H8" s="36">
        <f>MROUND(($H$2*0.4),H4)-H7</f>
        <v>16</v>
      </c>
      <c r="I8" s="36">
        <f>MROUND(($H$2*0.265),H4)-I7</f>
        <v>10</v>
      </c>
      <c r="J8" s="36">
        <f>MROUND(($H$2*0.23),H4)-J7</f>
        <v>9.5</v>
      </c>
      <c r="K8" s="36">
        <f>MROUND(($H$2*0.17),H4)-K7</f>
        <v>6</v>
      </c>
      <c r="L8" s="36">
        <f>MROUND(($H$2*0.15),H4)-L7</f>
        <v>5.5</v>
      </c>
      <c r="M8" s="7"/>
      <c r="N8" s="7"/>
      <c r="O8" s="7"/>
      <c r="P8" s="60">
        <f>P7+L8</f>
        <v>9</v>
      </c>
    </row>
    <row r="9" spans="2:23" ht="15" customHeight="1" x14ac:dyDescent="0.25">
      <c r="B9" s="88"/>
      <c r="C9" s="26" t="s">
        <v>26</v>
      </c>
      <c r="D9" s="27">
        <f>D8*2</f>
        <v>4</v>
      </c>
      <c r="E9" s="27">
        <f>$H$3+D8+D9+D7</f>
        <v>8</v>
      </c>
      <c r="F9" s="35"/>
      <c r="G9" s="35"/>
      <c r="H9" s="35">
        <f>MROUND(($H$2*0.74),H4)-(H7+H8)</f>
        <v>20.5</v>
      </c>
      <c r="I9" s="35">
        <f>MROUND(($H$2*0.5),H4)-(I7+I8)</f>
        <v>14</v>
      </c>
      <c r="J9" s="35">
        <f>MROUND(($H$2*0.4),H4)-(J7+J8)</f>
        <v>10</v>
      </c>
      <c r="K9" s="35">
        <f>MROUND(($H$2*0.33),H4)-(K7+K8)</f>
        <v>10</v>
      </c>
      <c r="L9" s="35">
        <f>MROUND(($H$2*0.26),H4)-(L7+L8)</f>
        <v>6.5</v>
      </c>
      <c r="M9" s="7"/>
      <c r="N9" s="7"/>
      <c r="O9" s="7"/>
      <c r="P9" s="60">
        <f>P8+L9</f>
        <v>15.5</v>
      </c>
    </row>
    <row r="10" spans="2:23" ht="15" customHeight="1" x14ac:dyDescent="0.25">
      <c r="B10" s="88"/>
      <c r="C10" s="26" t="s">
        <v>27</v>
      </c>
      <c r="D10" s="27">
        <f>D9*2</f>
        <v>8</v>
      </c>
      <c r="E10" s="27">
        <f>$H$3+D9+D10+D8+D7</f>
        <v>16</v>
      </c>
      <c r="F10" s="36"/>
      <c r="G10" s="36"/>
      <c r="H10" s="36"/>
      <c r="I10" s="36">
        <f>MROUND(($H$2*0.8),H4)-(I7+I8+I9)</f>
        <v>18</v>
      </c>
      <c r="J10" s="36">
        <f>MROUND(($H$2*0.63),H4)-(J7+J8+J9)</f>
        <v>14</v>
      </c>
      <c r="K10" s="36">
        <f>MROUND(($H$2*0.5),H4)-(K7+K8+K9)</f>
        <v>10</v>
      </c>
      <c r="L10" s="36">
        <f>MROUND(($H$2*0.4),H4)-(L7+L8+L9)</f>
        <v>8.5</v>
      </c>
      <c r="M10" s="7"/>
      <c r="N10" s="7"/>
      <c r="O10" s="7"/>
      <c r="P10" s="60">
        <f>P9+L10</f>
        <v>24</v>
      </c>
    </row>
    <row r="11" spans="2:23" ht="15" customHeight="1" x14ac:dyDescent="0.25">
      <c r="B11" s="88"/>
      <c r="C11" s="26" t="s">
        <v>28</v>
      </c>
      <c r="D11" s="27">
        <f t="shared" ref="D11:D13" si="0">D10*2</f>
        <v>16</v>
      </c>
      <c r="E11" s="27">
        <f>$H$3+D10+D11+D9+D8+D7</f>
        <v>32</v>
      </c>
      <c r="F11" s="35"/>
      <c r="G11" s="35"/>
      <c r="H11" s="35"/>
      <c r="I11" s="35"/>
      <c r="J11" s="35">
        <f>MROUND(($H$2*0.84),H4)-(J7+J8+J9+J10)</f>
        <v>12.5</v>
      </c>
      <c r="K11" s="35">
        <f>MROUND(($H$2*0.69),H4)-(K7+K8+K9+K10)</f>
        <v>11.5</v>
      </c>
      <c r="L11" s="35">
        <f>MROUND(($H$2*0.55),H4)-(L7+L8+L9+L10)</f>
        <v>9</v>
      </c>
      <c r="M11" s="7"/>
      <c r="N11" s="7"/>
      <c r="O11" s="7"/>
      <c r="P11" s="60">
        <f>P10+L11</f>
        <v>33</v>
      </c>
    </row>
    <row r="12" spans="2:23" ht="15" customHeight="1" x14ac:dyDescent="0.25">
      <c r="B12" s="88"/>
      <c r="C12" s="26" t="s">
        <v>29</v>
      </c>
      <c r="D12" s="27">
        <f t="shared" si="0"/>
        <v>32</v>
      </c>
      <c r="E12" s="27">
        <f>$H$3+D11+D12+D10+D9+D8+D7</f>
        <v>64</v>
      </c>
      <c r="F12" s="36"/>
      <c r="G12" s="36"/>
      <c r="H12" s="36"/>
      <c r="I12" s="36"/>
      <c r="J12" s="36"/>
      <c r="K12" s="36">
        <f>MROUND(($H$2*0.86),H4)-(K7+K8+K9+K10+K11)</f>
        <v>10</v>
      </c>
      <c r="L12" s="36">
        <f>MROUND(($H$2*0.7),H4)-(L7+L8+L9+L10+L11)</f>
        <v>9</v>
      </c>
      <c r="M12" s="7"/>
      <c r="N12" s="7"/>
      <c r="O12" s="7"/>
      <c r="P12" s="60">
        <f t="shared" ref="P12" si="1">P11+L12</f>
        <v>42</v>
      </c>
    </row>
    <row r="13" spans="2:23" ht="15" customHeight="1" x14ac:dyDescent="0.25">
      <c r="B13" s="88"/>
      <c r="C13" s="26" t="s">
        <v>30</v>
      </c>
      <c r="D13" s="27">
        <f t="shared" si="0"/>
        <v>64</v>
      </c>
      <c r="E13" s="27">
        <f>$H$3+D12+D13+D11+D10+D9+D8+D7</f>
        <v>128</v>
      </c>
      <c r="F13" s="35"/>
      <c r="G13" s="35"/>
      <c r="H13" s="35"/>
      <c r="I13" s="35"/>
      <c r="J13" s="35"/>
      <c r="K13" s="35"/>
      <c r="L13" s="35">
        <f>MROUND(($H$2*0.85),H4)-(L8+L9+L10+L11+L12+L7)</f>
        <v>9</v>
      </c>
      <c r="M13" s="7"/>
      <c r="N13" s="7"/>
      <c r="O13" s="7"/>
      <c r="P13" s="60">
        <f>P12+L13</f>
        <v>51</v>
      </c>
    </row>
    <row r="14" spans="2:23" x14ac:dyDescent="0.25">
      <c r="C14" s="7"/>
      <c r="D14" s="7"/>
      <c r="E14" s="29" t="s">
        <v>22</v>
      </c>
      <c r="F14" s="28">
        <f>(($H$2*D7)*$H$3*$F$4)+(($H$2-F7)*D7*$F$4)</f>
        <v>960</v>
      </c>
      <c r="G14" s="28">
        <f>(($H$2*$H$3)*D7*$F$4)+(($H$2-G7)*D7*$F$4)+(($H$2-(G7+G8))*D8*$F$4)</f>
        <v>1560</v>
      </c>
      <c r="H14" s="28">
        <f>(($H$2*$H$3)*D7*$F$4)+(($H$2-H7)*D7*$F$4)+(($H$2-(H7+H8))*D8*$F$4)+(($H$2-(H7+H8+H9))*D9*$F$4)</f>
        <v>2460</v>
      </c>
      <c r="I14" s="28">
        <f>(($H$2*$H$3)*D7*$F$4)+(($H$2-I7)*D7*$F$4)+(($H$2-(I7+I8))*D8*$F$4)+(($H$2-(I7+I8+I9))*D9*$F$4)+(($H$2-(I7+I8+I9+I10))*D10*$F$4)</f>
        <v>4180</v>
      </c>
      <c r="J14" s="28">
        <f>(($H$2*$H$3)*D7*$F$4)+(($H$2-J7)*D7*$F$4)+(($H$2-(J7+J8))*D8*$F$4)+(($H$2-(J7+J8+J9))*D9*$F$4)+(($H$2-(J7+J8+J9+J10))*D10*$F$4)+(($H$2-(J7+J8+J9+J10+J11))*D11*$F$4)</f>
        <v>6795</v>
      </c>
      <c r="K14" s="28">
        <f>(($H$2*$H$3)*D7*$F$4)+(($H$2-K7)*D7*$F$4)+(($H$2-(K7+K8))*D8*$F$4)+(($H$2-(K7+K8+K9))*D9*$F$4)+(($H$2-(K7+K8+K9+K10))*D10*$F$4)+(($H$2-(K7+K8+K9+K10+K11))*D11*$F$4)+(($H$2-(K7+K8+K9+K10+K11+K12))*D12*$F$4)</f>
        <v>11840</v>
      </c>
      <c r="L14" s="28">
        <f>(($H$2*$H$3)*D7*$F$4)+(($H$2-L7)*D7*$F$4)+(($H$2-(L7+L8))*D8*$F$4)+(($H$2-(L7+L8+L9))*D9*$F$4)+(($H$2-(L7+L8+L9+L10))*D10*$F$4)+(($H$2-(L7+L8+L9+L10+L11))*D11*$F$4)+(($H$2-(L7+L8+L9+L10+L11+L12))*D12*$F$4)+(($H$2-(L7+L8+L9+L10+L11+L12+L13))*D13*$F$4)</f>
        <v>22685</v>
      </c>
      <c r="M14" s="7"/>
      <c r="N14" s="7"/>
      <c r="O14" s="7"/>
      <c r="P14" s="59">
        <f>H2</f>
        <v>60</v>
      </c>
      <c r="S14" s="39"/>
      <c r="T14" s="56"/>
      <c r="U14" s="56"/>
      <c r="V14" s="23"/>
      <c r="W14" s="56"/>
    </row>
    <row r="15" spans="2:23" x14ac:dyDescent="0.25">
      <c r="C15" s="7"/>
      <c r="D15" s="7"/>
      <c r="E15" s="7"/>
      <c r="F15" s="7"/>
      <c r="G15" s="7"/>
      <c r="H15" s="7"/>
      <c r="I15" s="7"/>
      <c r="J15" s="7"/>
      <c r="K15" s="7"/>
      <c r="L15" s="7"/>
      <c r="M15" s="7"/>
      <c r="N15" s="7"/>
      <c r="O15" s="7"/>
      <c r="P15" s="44"/>
      <c r="Q15" s="7"/>
      <c r="R15" s="7"/>
      <c r="S15" s="7"/>
      <c r="T15" s="56"/>
      <c r="U15" s="7"/>
    </row>
    <row r="16" spans="2:23" x14ac:dyDescent="0.25">
      <c r="C16" s="7"/>
      <c r="D16" s="90" t="s">
        <v>50</v>
      </c>
      <c r="E16" s="91"/>
      <c r="F16" s="92"/>
      <c r="G16" s="7"/>
      <c r="H16" s="7"/>
      <c r="I16" s="7"/>
      <c r="J16" s="7"/>
      <c r="K16" s="7"/>
      <c r="L16" s="7"/>
      <c r="M16" s="7"/>
      <c r="N16" s="7"/>
      <c r="O16" s="7"/>
      <c r="P16" s="44"/>
      <c r="S16" s="39"/>
      <c r="T16" s="56"/>
    </row>
    <row r="17" spans="2:21" x14ac:dyDescent="0.25">
      <c r="C17" s="7"/>
      <c r="D17" s="66" t="s">
        <v>34</v>
      </c>
      <c r="E17" s="66" t="s">
        <v>45</v>
      </c>
      <c r="F17" s="66" t="s">
        <v>35</v>
      </c>
      <c r="G17" s="66" t="s">
        <v>36</v>
      </c>
      <c r="H17" s="66" t="s">
        <v>37</v>
      </c>
      <c r="I17" s="66" t="s">
        <v>38</v>
      </c>
      <c r="J17" s="66" t="s">
        <v>39</v>
      </c>
      <c r="K17" s="66" t="s">
        <v>40</v>
      </c>
      <c r="L17" s="66" t="s">
        <v>41</v>
      </c>
      <c r="M17" s="7"/>
      <c r="N17" s="7"/>
      <c r="O17" s="7"/>
      <c r="P17" s="44">
        <v>0</v>
      </c>
      <c r="Q17" s="7"/>
      <c r="R17" s="7"/>
      <c r="S17" s="7"/>
      <c r="T17" s="56"/>
      <c r="U17" s="7"/>
    </row>
    <row r="18" spans="2:21" ht="15" customHeight="1" x14ac:dyDescent="0.25">
      <c r="B18" s="88">
        <v>2</v>
      </c>
      <c r="C18" s="26" t="s">
        <v>24</v>
      </c>
      <c r="D18" s="27">
        <f>H3</f>
        <v>1</v>
      </c>
      <c r="E18" s="27">
        <f>$H$3+D18</f>
        <v>2</v>
      </c>
      <c r="F18" s="35">
        <f>MROUND(($H$2*0.3),H4)</f>
        <v>18</v>
      </c>
      <c r="G18" s="35">
        <f>MROUND(($H$2*0.11),H4)</f>
        <v>6.5</v>
      </c>
      <c r="H18" s="35">
        <f>MROUND(($H$2*0.065),H4)</f>
        <v>4</v>
      </c>
      <c r="I18" s="35">
        <f>MROUND(($H$2*0.07),H4)</f>
        <v>4</v>
      </c>
      <c r="J18" s="35">
        <f>MROUND(($H$2*0.04),H4)</f>
        <v>2.5</v>
      </c>
      <c r="K18" s="35">
        <f>MROUND(($H$2*0.032),H4)</f>
        <v>2</v>
      </c>
      <c r="L18" s="35">
        <f>MROUND(($H$2*0.03),H4)</f>
        <v>2</v>
      </c>
      <c r="M18" s="7"/>
      <c r="N18" s="7"/>
      <c r="O18" s="7"/>
      <c r="P18" s="45">
        <f>L18</f>
        <v>2</v>
      </c>
      <c r="S18" s="39"/>
      <c r="T18" s="56"/>
    </row>
    <row r="19" spans="2:21" ht="15" customHeight="1" x14ac:dyDescent="0.25">
      <c r="B19" s="88"/>
      <c r="C19" s="26" t="s">
        <v>25</v>
      </c>
      <c r="D19" s="27">
        <f>D18*2</f>
        <v>2</v>
      </c>
      <c r="E19" s="27">
        <f>$H$3+D18+D19</f>
        <v>4</v>
      </c>
      <c r="F19" s="36"/>
      <c r="G19" s="36">
        <f>MROUND(($H$2*0.57),H4)-G18</f>
        <v>27.5</v>
      </c>
      <c r="H19" s="36">
        <f>MROUND(($H$2*0.32),H4)-H18</f>
        <v>15</v>
      </c>
      <c r="I19" s="36">
        <f>MROUND(($H$2*0.2),H4)-I18</f>
        <v>8</v>
      </c>
      <c r="J19" s="36">
        <f>MROUND(($H$2*0.13),H4)-J18</f>
        <v>5.5</v>
      </c>
      <c r="K19" s="36">
        <f>MROUND(($H$2*0.1),H4)-K18</f>
        <v>4</v>
      </c>
      <c r="L19" s="36">
        <f>MROUND(($H$2*0.07),H4)-L18</f>
        <v>2</v>
      </c>
      <c r="M19" s="7"/>
      <c r="N19" s="7"/>
      <c r="O19" s="7"/>
      <c r="P19" s="45">
        <f>P18+L19</f>
        <v>4</v>
      </c>
      <c r="Q19" s="7"/>
      <c r="R19" s="7"/>
      <c r="S19" s="7"/>
      <c r="T19" s="56"/>
      <c r="U19" s="7"/>
    </row>
    <row r="20" spans="2:21" ht="15" customHeight="1" x14ac:dyDescent="0.25">
      <c r="B20" s="88"/>
      <c r="C20" s="26" t="s">
        <v>26</v>
      </c>
      <c r="D20" s="27">
        <f>D19*2</f>
        <v>4</v>
      </c>
      <c r="E20" s="27">
        <f>$H$3+D19+D20+D18</f>
        <v>8</v>
      </c>
      <c r="F20" s="35"/>
      <c r="G20" s="35"/>
      <c r="H20" s="35">
        <f>MROUND(($H$2*0.73),H4)-(H18+H19)</f>
        <v>25</v>
      </c>
      <c r="I20" s="35">
        <f>MROUND(($H$2*0.5),H4)-(I18+I19)</f>
        <v>18</v>
      </c>
      <c r="J20" s="35">
        <f>MROUND(($H$2*0.33),H4)-(J18+J19)</f>
        <v>12</v>
      </c>
      <c r="K20" s="35">
        <f>MROUND(($H$2*0.23),H4)-(K18+K19)</f>
        <v>8</v>
      </c>
      <c r="L20" s="35">
        <f>MROUND(($H$2*0.15),H4)-(L18+L19)</f>
        <v>5</v>
      </c>
      <c r="M20" s="7"/>
      <c r="N20" s="7"/>
      <c r="O20" s="7"/>
      <c r="P20" s="45">
        <f t="shared" ref="P20:P24" si="2">P19+L20</f>
        <v>9</v>
      </c>
      <c r="S20" s="39"/>
      <c r="T20" s="56"/>
    </row>
    <row r="21" spans="2:21" ht="15" customHeight="1" x14ac:dyDescent="0.25">
      <c r="B21" s="88"/>
      <c r="C21" s="26" t="s">
        <v>27</v>
      </c>
      <c r="D21" s="27">
        <f t="shared" ref="D21:D24" si="3">D20*2</f>
        <v>8</v>
      </c>
      <c r="E21" s="27">
        <f>$H$3+D20+D21+D19+D18</f>
        <v>16</v>
      </c>
      <c r="F21" s="36"/>
      <c r="G21" s="36"/>
      <c r="H21" s="36"/>
      <c r="I21" s="36">
        <f>MROUND(($H$2*0.86),H4)-(I18+I19+I20)</f>
        <v>21.5</v>
      </c>
      <c r="J21" s="36">
        <f>MROUND(($H$2*0.61),H4)-(J18+J19+J20)</f>
        <v>16.5</v>
      </c>
      <c r="K21" s="36">
        <f>MROUND(($H$2*0.45),H4)-(K18+K19+K20)</f>
        <v>13</v>
      </c>
      <c r="L21" s="36">
        <f>MROUND(($H$2*0.3),H4)-(L18+L19+L20)</f>
        <v>9</v>
      </c>
      <c r="M21" s="7"/>
      <c r="N21" s="7"/>
      <c r="O21" s="7"/>
      <c r="P21" s="45">
        <f t="shared" si="2"/>
        <v>18</v>
      </c>
      <c r="Q21" s="7"/>
      <c r="R21" s="7"/>
      <c r="S21" s="7"/>
      <c r="T21" s="56"/>
      <c r="U21" s="7"/>
    </row>
    <row r="22" spans="2:21" ht="15" customHeight="1" x14ac:dyDescent="0.25">
      <c r="B22" s="88"/>
      <c r="C22" s="26" t="s">
        <v>28</v>
      </c>
      <c r="D22" s="27">
        <f>D21*2</f>
        <v>16</v>
      </c>
      <c r="E22" s="27">
        <f>$H$3+D21+D22+D20+D19+D18</f>
        <v>32</v>
      </c>
      <c r="F22" s="35"/>
      <c r="G22" s="35"/>
      <c r="H22" s="35"/>
      <c r="I22" s="35"/>
      <c r="J22" s="35">
        <f>MROUND(($H$2*0.86),H4)-(J18+J19+J20+J21)</f>
        <v>15</v>
      </c>
      <c r="K22" s="35">
        <f>MROUND(($H$2*0.7),H4)-(K18+K19+K20+K21)</f>
        <v>15</v>
      </c>
      <c r="L22" s="35">
        <f>MROUND(($H$2*0.5),H4)-(L18+L19+L20+L21)</f>
        <v>12</v>
      </c>
      <c r="M22" s="7"/>
      <c r="N22" s="7"/>
      <c r="O22" s="7"/>
      <c r="P22" s="45">
        <f t="shared" si="2"/>
        <v>30</v>
      </c>
      <c r="S22" s="39"/>
      <c r="T22" s="56"/>
    </row>
    <row r="23" spans="2:21" ht="15" customHeight="1" x14ac:dyDescent="0.25">
      <c r="B23" s="88"/>
      <c r="C23" s="26" t="s">
        <v>29</v>
      </c>
      <c r="D23" s="27">
        <f t="shared" si="3"/>
        <v>32</v>
      </c>
      <c r="E23" s="27">
        <f>$H$3+D22+D23+D21+D20+D19+D18</f>
        <v>64</v>
      </c>
      <c r="F23" s="36"/>
      <c r="G23" s="36"/>
      <c r="H23" s="36"/>
      <c r="I23" s="36"/>
      <c r="J23" s="36"/>
      <c r="K23" s="36">
        <f>MROUND(($H$2*0.9),H4)-(K18+K19+K20+K21+K22)</f>
        <v>12</v>
      </c>
      <c r="L23" s="36">
        <f>MROUND(($H$2*0.7),H4)-(L18+L19+L20+L21+L22)</f>
        <v>12</v>
      </c>
      <c r="M23" s="7"/>
      <c r="N23" s="7"/>
      <c r="O23" s="7"/>
      <c r="P23" s="45">
        <f t="shared" si="2"/>
        <v>42</v>
      </c>
      <c r="Q23" s="7"/>
      <c r="R23" s="7"/>
      <c r="S23" s="7"/>
      <c r="T23" s="56"/>
      <c r="U23" s="7"/>
    </row>
    <row r="24" spans="2:21" ht="15" customHeight="1" x14ac:dyDescent="0.25">
      <c r="B24" s="88"/>
      <c r="C24" s="26" t="s">
        <v>30</v>
      </c>
      <c r="D24" s="27">
        <f t="shared" si="3"/>
        <v>64</v>
      </c>
      <c r="E24" s="27">
        <f>$H$3+D23+D24+D22+D21+D20+D19+D18</f>
        <v>128</v>
      </c>
      <c r="F24" s="35"/>
      <c r="G24" s="35"/>
      <c r="H24" s="35"/>
      <c r="I24" s="35"/>
      <c r="J24" s="35"/>
      <c r="K24" s="35"/>
      <c r="L24" s="35">
        <f>MROUND(($H$2*0.9),H4)-(L19+L20+L21+L22+L23+L18)</f>
        <v>12</v>
      </c>
      <c r="M24" s="7"/>
      <c r="N24" s="7"/>
      <c r="O24" s="7"/>
      <c r="P24" s="45">
        <f t="shared" si="2"/>
        <v>54</v>
      </c>
      <c r="S24" s="39"/>
      <c r="T24" s="56"/>
    </row>
    <row r="25" spans="2:21" x14ac:dyDescent="0.25">
      <c r="C25" s="7"/>
      <c r="D25" s="7"/>
      <c r="E25" s="29" t="s">
        <v>22</v>
      </c>
      <c r="F25" s="28">
        <f>(($H$2*D18)*$H$3*$F$4)+(($H$2-F18)*D18*$F$4)</f>
        <v>1020</v>
      </c>
      <c r="G25" s="28">
        <f>(($H$2*$H$3)*D18*$F$4)+(($H$2-G18)*D18*$F$4)+(($H$2-(G18+G19))*D19*$F$4)</f>
        <v>1655</v>
      </c>
      <c r="H25" s="28">
        <f>(($H$2*$H$3)*D18*$F$4)+(($H$2-H18)*D18*$F$4)+(($H$2-(H18+H19))*D19*$F$4)+(($H$2-(H18+H19+H20))*D20*$F$4)</f>
        <v>2620</v>
      </c>
      <c r="I25" s="28">
        <f>(($H$2*$H$3)*D18*$F$4)+(($H$2-I18)*D18*$F$4)+(($H$2-(I18+I19))*D19*$F$4)+(($H$2-(I18+I19+I20))*D20*$F$4)+(($H$2-(I18+I19+I20+I21))*D21*$F$4)</f>
        <v>4000</v>
      </c>
      <c r="J25" s="28">
        <f>(($H$2*$H$3)*D18*$F$4)+(($H$2-J18)*D18*$F$4)+(($H$2-(J18+J19))*D19*$F$4)+(($H$2-(J18+J19+J20))*D20*$F$4)+(($H$2-(J18+J19+J20+J21))*D21*$F$4)+(($H$2-(J18+J19+J20+J21+J22))*D22*$F$4)</f>
        <v>7055</v>
      </c>
      <c r="K25" s="28">
        <f>(($H$2*$H$3)*D18*$F$4)+(($H$2-K18)*D18*$F$4)+(($H$2-(K18+K19))*D19*$F$4)+(($H$2-(K18+K19+K20))*D20*$F$4)+(($H$2-(K18+K19+K20+K21))*D21*$F$4)+(($H$2-(K18+K19+K20+K21+K22))*D22*$F$4)+(($H$2-(K18+K19+K20+K21+K22+K23))*D23*$F$4)</f>
        <v>11540</v>
      </c>
      <c r="L25" s="28">
        <f>(($H$2*$H$3)*D18*$F$4)+(($H$2-L18)*D18*$F$4)+(($H$2-(L18+L19))*D19*$F$4)+(($H$2-(L18+L19+L20))*D20*$F$4)+(($H$2-(L18+L19+L20+L21))*D21*$F$4)+(($H$2-(L18+L19+L20+L21+L22))*D22*$F$4)+(($H$2-(L18+L19+L20+L21+L22+L23))*D23*$F$4)+(($H$2-(L18+L19+L20+L21+L22+L23+L24))*D24*$F$4)</f>
        <v>22100</v>
      </c>
      <c r="M25" s="7"/>
      <c r="N25" s="7"/>
      <c r="O25" s="7"/>
      <c r="P25" s="44">
        <f>H2</f>
        <v>60</v>
      </c>
      <c r="S25" s="39"/>
      <c r="T25" s="40"/>
    </row>
    <row r="26" spans="2:21" x14ac:dyDescent="0.25">
      <c r="C26" s="7"/>
      <c r="D26" s="7"/>
      <c r="E26" s="7"/>
      <c r="F26" s="7"/>
      <c r="G26" s="7"/>
      <c r="H26" s="7"/>
      <c r="I26" s="7"/>
      <c r="J26" s="7"/>
      <c r="K26" s="7"/>
      <c r="L26" s="7"/>
      <c r="M26" s="7"/>
      <c r="N26" s="7"/>
      <c r="O26" s="7"/>
      <c r="P26" s="55"/>
      <c r="S26" s="39"/>
      <c r="T26" s="40"/>
    </row>
    <row r="27" spans="2:21" x14ac:dyDescent="0.25">
      <c r="C27" s="7"/>
      <c r="D27" s="90" t="s">
        <v>55</v>
      </c>
      <c r="E27" s="91"/>
      <c r="F27" s="92"/>
      <c r="G27" s="7"/>
      <c r="H27" s="7"/>
      <c r="I27" s="7"/>
      <c r="J27" s="7"/>
      <c r="K27" s="7"/>
      <c r="L27" s="7"/>
      <c r="M27" s="7"/>
      <c r="N27" s="62" t="s">
        <v>43</v>
      </c>
      <c r="O27" s="7"/>
      <c r="P27" s="69"/>
      <c r="Q27" s="61"/>
      <c r="S27" s="39"/>
      <c r="T27" s="40"/>
    </row>
    <row r="28" spans="2:21" x14ac:dyDescent="0.25">
      <c r="C28" s="7"/>
      <c r="D28" s="66" t="s">
        <v>34</v>
      </c>
      <c r="E28" s="66" t="s">
        <v>45</v>
      </c>
      <c r="F28" s="66" t="s">
        <v>35</v>
      </c>
      <c r="G28" s="66" t="s">
        <v>36</v>
      </c>
      <c r="H28" s="66" t="s">
        <v>37</v>
      </c>
      <c r="I28" s="66" t="s">
        <v>38</v>
      </c>
      <c r="J28" s="66" t="s">
        <v>39</v>
      </c>
      <c r="K28" s="66" t="s">
        <v>40</v>
      </c>
      <c r="L28" s="66" t="s">
        <v>41</v>
      </c>
      <c r="M28" s="44"/>
      <c r="N28" s="63">
        <f>MROUND(($H$2*0.098),H4)</f>
        <v>6</v>
      </c>
      <c r="O28" s="44"/>
      <c r="P28" s="45">
        <v>0</v>
      </c>
      <c r="Q28" s="61"/>
    </row>
    <row r="29" spans="2:21" ht="15" customHeight="1" x14ac:dyDescent="0.25">
      <c r="B29" s="88">
        <v>3</v>
      </c>
      <c r="C29" s="26" t="s">
        <v>24</v>
      </c>
      <c r="D29" s="27">
        <f>$H$3</f>
        <v>1</v>
      </c>
      <c r="E29" s="27">
        <f>$H$3+D29</f>
        <v>2</v>
      </c>
      <c r="F29" s="35">
        <f>MROUND(($H$2*0.4),H4)</f>
        <v>24</v>
      </c>
      <c r="G29" s="35">
        <f>MROUND(($H$2*0.28),H4)</f>
        <v>17</v>
      </c>
      <c r="H29" s="35">
        <f>MROUND(($H$2*0.18),$H$4)</f>
        <v>11</v>
      </c>
      <c r="I29" s="35">
        <f>MROUND(($H$2*0.15),$H$4)</f>
        <v>9</v>
      </c>
      <c r="J29" s="35">
        <f>MROUND(($H$2*0.13),$H$4)</f>
        <v>8</v>
      </c>
      <c r="K29" s="35">
        <f>MROUND(($H$2*0.12),$H$4)</f>
        <v>7</v>
      </c>
      <c r="L29" s="35">
        <f>MROUND(($H$2*0.12),$H$4)</f>
        <v>7</v>
      </c>
      <c r="M29" s="44"/>
      <c r="N29" s="64">
        <f>MROUND(($H$2*0.18),H4)-N28</f>
        <v>5</v>
      </c>
      <c r="O29" s="44"/>
      <c r="P29" s="45">
        <f>N28</f>
        <v>6</v>
      </c>
      <c r="Q29" s="61"/>
    </row>
    <row r="30" spans="2:21" ht="15" customHeight="1" x14ac:dyDescent="0.25">
      <c r="B30" s="88"/>
      <c r="C30" s="26" t="s">
        <v>25</v>
      </c>
      <c r="D30" s="27">
        <f>D29*2</f>
        <v>2</v>
      </c>
      <c r="E30" s="27">
        <f>$H$3+D29+D30</f>
        <v>4</v>
      </c>
      <c r="F30" s="36"/>
      <c r="G30" s="36">
        <f>MROUND(($H$2*0.61),H4)-G29</f>
        <v>19.5</v>
      </c>
      <c r="H30" s="36">
        <f>MROUND(($H$2*0.42),$H$4)-I29</f>
        <v>16</v>
      </c>
      <c r="I30" s="36">
        <f>MROUND(($H$2*0.32),$H$4)-I29</f>
        <v>10</v>
      </c>
      <c r="J30" s="36">
        <f>MROUND(($H$2*0.26),$H$4)-J29</f>
        <v>7.5</v>
      </c>
      <c r="K30" s="36">
        <f>MROUND(($H$2*0.25),$H$4)-K29</f>
        <v>8</v>
      </c>
      <c r="L30" s="36">
        <f>MROUND(($H$2*0.2),$H$4)-L29</f>
        <v>5</v>
      </c>
      <c r="M30" s="44"/>
      <c r="N30" s="63">
        <f>MROUND(($H$2*0.27),H4)-(N28+N29)</f>
        <v>5</v>
      </c>
      <c r="O30" s="44"/>
      <c r="P30" s="45">
        <f>P29+N29</f>
        <v>11</v>
      </c>
      <c r="Q30" s="61"/>
    </row>
    <row r="31" spans="2:21" ht="15" customHeight="1" x14ac:dyDescent="0.25">
      <c r="B31" s="88"/>
      <c r="C31" s="26" t="s">
        <v>26</v>
      </c>
      <c r="D31" s="27">
        <f>D30*2</f>
        <v>4</v>
      </c>
      <c r="E31" s="27">
        <f>$H$3+D30+D31+D29</f>
        <v>8</v>
      </c>
      <c r="F31" s="35"/>
      <c r="G31" s="35"/>
      <c r="H31" s="35">
        <f>MROUND(($H$2*0.77),$H$4)-(H29+H30)</f>
        <v>19</v>
      </c>
      <c r="I31" s="35">
        <f>MROUND(($H$2*0.52),$H$4)-(I29+I30)</f>
        <v>12</v>
      </c>
      <c r="J31" s="35">
        <f>MROUND(($H$2*0.4),$H$4)-(J29+J30)</f>
        <v>8.5</v>
      </c>
      <c r="K31" s="35">
        <f>MROUND(($H$2*0.36),$H$4)-(K29+K30)</f>
        <v>6.5</v>
      </c>
      <c r="L31" s="35">
        <f>MROUND(($H$2*0.3),$H$4)-(L29+L30)</f>
        <v>6</v>
      </c>
      <c r="M31" s="44"/>
      <c r="N31" s="64">
        <f>MROUND(($H$2*0.36),H4)-(N28+N29+N30)</f>
        <v>5.5</v>
      </c>
      <c r="O31" s="44"/>
      <c r="P31" s="45">
        <f>P30+N30</f>
        <v>16</v>
      </c>
      <c r="Q31" s="61"/>
    </row>
    <row r="32" spans="2:21" ht="15" customHeight="1" x14ac:dyDescent="0.25">
      <c r="B32" s="88"/>
      <c r="C32" s="26" t="s">
        <v>27</v>
      </c>
      <c r="D32" s="27">
        <f>D31*2</f>
        <v>8</v>
      </c>
      <c r="E32" s="27">
        <f>$H$3+D31+D32+D30+D29</f>
        <v>16</v>
      </c>
      <c r="F32" s="36"/>
      <c r="G32" s="36"/>
      <c r="H32" s="36"/>
      <c r="I32" s="36">
        <f>MROUND(($H$2*0.83),H4)-(I29+I30+I31)</f>
        <v>19</v>
      </c>
      <c r="J32" s="36">
        <f>MROUND(($H$2*0.6),$H$4)-(J29+J30+J31)</f>
        <v>12</v>
      </c>
      <c r="K32" s="36">
        <f>MROUND(($H$2*0.48),$H$4)-(K29+K30+K31)</f>
        <v>7.5</v>
      </c>
      <c r="L32" s="36">
        <f>MROUND(($H$2*0.4),$H$4)-(L29+L30+L31)</f>
        <v>6</v>
      </c>
      <c r="M32" s="44"/>
      <c r="N32" s="63">
        <f>MROUND(($H$2*0.45),H4)-(N28+N29+N30+N31)</f>
        <v>5.5</v>
      </c>
      <c r="O32" s="44"/>
      <c r="P32" s="45">
        <f>P31+N31</f>
        <v>21.5</v>
      </c>
      <c r="Q32" s="61"/>
    </row>
    <row r="33" spans="2:22" ht="15" customHeight="1" x14ac:dyDescent="0.25">
      <c r="B33" s="88"/>
      <c r="C33" s="26" t="s">
        <v>28</v>
      </c>
      <c r="D33" s="27">
        <f t="shared" ref="D33:D35" si="4">D32*2</f>
        <v>16</v>
      </c>
      <c r="E33" s="27">
        <f>$H$3+D32+D33+D31+D30+D29</f>
        <v>32</v>
      </c>
      <c r="F33" s="35"/>
      <c r="G33" s="35"/>
      <c r="H33" s="35"/>
      <c r="I33" s="35"/>
      <c r="J33" s="35">
        <f>MROUND(($H$2*0.85),$H$4)-(J29+J30+J31+J32)</f>
        <v>15</v>
      </c>
      <c r="K33" s="35">
        <f>MROUND(($H$2*0.7),$H$4)-(K29+K30+K31+K32)</f>
        <v>13</v>
      </c>
      <c r="L33" s="35">
        <f>MROUND(($H$2*0.55),$H$4)-(L29+L30+L31+L32)</f>
        <v>9</v>
      </c>
      <c r="M33" s="44"/>
      <c r="N33" s="64">
        <f>MROUND(($H$2*0.6),H4)-(N28+N29+N30+N31+N32)</f>
        <v>9</v>
      </c>
      <c r="O33" s="44"/>
      <c r="P33" s="45">
        <f t="shared" ref="P33:P36" si="5">P32+N32</f>
        <v>27</v>
      </c>
      <c r="Q33" s="61"/>
    </row>
    <row r="34" spans="2:22" ht="15" customHeight="1" x14ac:dyDescent="0.25">
      <c r="B34" s="88"/>
      <c r="C34" s="26" t="s">
        <v>29</v>
      </c>
      <c r="D34" s="27">
        <f t="shared" si="4"/>
        <v>32</v>
      </c>
      <c r="E34" s="27">
        <f>$H$3+D33+D34+D32+D31+D30+D29</f>
        <v>64</v>
      </c>
      <c r="F34" s="36"/>
      <c r="G34" s="36"/>
      <c r="H34" s="36"/>
      <c r="I34" s="36"/>
      <c r="J34" s="36"/>
      <c r="K34" s="36">
        <f>MROUND(($H$2*0.87),$H$4)-(K29+K30+K31+K32+K33)</f>
        <v>10</v>
      </c>
      <c r="L34" s="36">
        <f>MROUND(($H$2*0.77),$H$4)-(L29+L30+L31+L32+L33)</f>
        <v>13</v>
      </c>
      <c r="M34" s="44"/>
      <c r="N34" s="63">
        <f>MROUND(($H$2*0.8),H4)-(N29+N30+N31+N32+N33+N28)</f>
        <v>12</v>
      </c>
      <c r="O34" s="44"/>
      <c r="P34" s="45">
        <f t="shared" si="5"/>
        <v>36</v>
      </c>
      <c r="Q34" s="61"/>
    </row>
    <row r="35" spans="2:22" ht="15" customHeight="1" x14ac:dyDescent="0.25">
      <c r="B35" s="88"/>
      <c r="C35" s="26" t="s">
        <v>30</v>
      </c>
      <c r="D35" s="27">
        <f t="shared" si="4"/>
        <v>64</v>
      </c>
      <c r="E35" s="27">
        <f>$H$3+D34+D35+D33+D32+D31+D30+D29</f>
        <v>128</v>
      </c>
      <c r="F35" s="35"/>
      <c r="G35" s="35"/>
      <c r="H35" s="35"/>
      <c r="I35" s="35"/>
      <c r="J35" s="35"/>
      <c r="K35" s="35"/>
      <c r="L35" s="35">
        <f>MROUND(($H$2*0.9),$H$4)-(L30+L31+L32+L33+L34+L29)</f>
        <v>8</v>
      </c>
      <c r="M35" s="44"/>
      <c r="N35" s="64">
        <f>MROUND(($H$2*0.9),H4)-(N28+N30+N31+N32+N33+N34+N29)</f>
        <v>6</v>
      </c>
      <c r="O35" s="44"/>
      <c r="P35" s="45">
        <f t="shared" si="5"/>
        <v>48</v>
      </c>
      <c r="Q35" s="61"/>
    </row>
    <row r="36" spans="2:22" ht="15" customHeight="1" x14ac:dyDescent="0.25">
      <c r="C36" s="7"/>
      <c r="D36" s="7"/>
      <c r="E36" s="29" t="s">
        <v>22</v>
      </c>
      <c r="F36" s="28">
        <f>(($H$2*D29)*$H$3*$F$4)+(($H$2-F29)*D29*$F$4)</f>
        <v>960</v>
      </c>
      <c r="G36" s="28">
        <f>(($H$2*$H$3)*D29*$F$4)+(($H$2-G29)*D29*$F$4)+(($H$2-(G29+G30))*D30*$F$4)</f>
        <v>1500</v>
      </c>
      <c r="H36" s="28">
        <f>(($H$2*$H$3)*D29*$F$4)+(($H$2-H29)*D29*$F$4)+(($H$2-(H29+H30))*D30*$F$4)+(($H$2-(H29+H30+H31))*D31*$F$4)</f>
        <v>2310</v>
      </c>
      <c r="I36" s="28">
        <f>(($H$2*$H$3)*D29*$F$4)+(($H$2-I29)*D29*$F$4)+(($H$2-(I29+I30))*D30*$F$4)+(($H$2-(I29+I30+I31))*D31*$F$4)+(($H$2-(I29+I30+I31+I32))*D32*$F$4)</f>
        <v>3890</v>
      </c>
      <c r="J36" s="28">
        <f>(($H$2*$H$3)*D29*$F$4)+(($H$2-J29)*D29*$F$4)+(($H$2-(J29+J30))*D30*$F$4)+(($H$2-(J29+J30+J31))*D31*$F$4)+(($H$2-(J29+J30+J31+J32))*D32*$F$4)+(($H$2-(J29+J30+J31+J32+J33))*D33*$F$4)</f>
        <v>6810</v>
      </c>
      <c r="K36" s="28">
        <f>(($H$2*$H$3)*D29*$F$4)+(($H$2-K29)*D29*$F$4)+(($H$2-(K29+K30))*D30*$F$4)+(($H$2-(K29+K30+K31))*D31*$F$4)+(($H$2-(K29+K30+K31+K32))*D32*$F$4)+(($H$2-(K29+K30+K31+K32+K33))*D33*$F$4)+(($H$2-(K29+K30+K31+K32+K33+K34))*D34*$F$4)</f>
        <v>11490</v>
      </c>
      <c r="L36" s="28">
        <f>(($H$2*$H$3)*D29*$F$4)+(($H$2-L29)*D29*$F$4)+(($H$2-(L29+L30))*D30*$F$4)+(($H$2-(L29+L30+L31))*D31*$F$4)+(($H$2-(L29+L30+L31+L32))*D32*$F$4)+(($H$2-(L29+L30+L31+L32+L33))*D33*$F$4)+(($H$2-(L29+L30+L31+L32+L33+L34))*D34*$F$4)+(($H$2-(L29+L30+L31+L32+L33+L34+L35))*D35*$F$4)</f>
        <v>19290</v>
      </c>
      <c r="M36" s="44"/>
      <c r="N36" s="63">
        <f>MROUND(($H$2*0.96),H4)-(N28+N29+N31+N32+N33+N34+N35+N30)</f>
        <v>3.5</v>
      </c>
      <c r="O36" s="44"/>
      <c r="P36" s="45">
        <f t="shared" si="5"/>
        <v>54</v>
      </c>
      <c r="Q36" s="61"/>
      <c r="S36" s="39"/>
    </row>
    <row r="37" spans="2:22" ht="15" customHeight="1" x14ac:dyDescent="0.25">
      <c r="C37" s="7"/>
      <c r="D37" s="7"/>
      <c r="E37" s="7"/>
      <c r="F37" s="7"/>
      <c r="G37" s="7"/>
      <c r="H37" s="7"/>
      <c r="I37" s="7"/>
      <c r="J37" s="7"/>
      <c r="K37" s="7"/>
      <c r="L37" s="7"/>
      <c r="M37" s="44"/>
      <c r="N37" s="44"/>
      <c r="O37" s="44"/>
      <c r="P37" s="45">
        <f>P36+N36</f>
        <v>57.5</v>
      </c>
      <c r="Q37" s="61"/>
      <c r="S37" s="39"/>
    </row>
    <row r="38" spans="2:22" x14ac:dyDescent="0.25">
      <c r="C38" s="7"/>
      <c r="D38" s="90" t="s">
        <v>56</v>
      </c>
      <c r="E38" s="91"/>
      <c r="F38" s="92"/>
      <c r="G38" s="7"/>
      <c r="H38" s="7"/>
      <c r="I38" s="7"/>
      <c r="J38" s="7"/>
      <c r="K38" s="7"/>
      <c r="L38" s="7"/>
      <c r="M38" s="78"/>
      <c r="N38" s="69"/>
      <c r="O38" s="69"/>
      <c r="P38" s="69"/>
      <c r="Q38" s="61"/>
      <c r="R38" s="61"/>
      <c r="S38" s="61"/>
    </row>
    <row r="39" spans="2:22" x14ac:dyDescent="0.25">
      <c r="C39" s="7"/>
      <c r="D39" s="66" t="s">
        <v>34</v>
      </c>
      <c r="E39" s="66" t="s">
        <v>45</v>
      </c>
      <c r="F39" s="66" t="s">
        <v>35</v>
      </c>
      <c r="G39" s="66" t="s">
        <v>36</v>
      </c>
      <c r="H39" s="66" t="s">
        <v>37</v>
      </c>
      <c r="I39" s="66" t="s">
        <v>38</v>
      </c>
      <c r="J39" s="66" t="s">
        <v>39</v>
      </c>
      <c r="K39" s="66" t="s">
        <v>40</v>
      </c>
      <c r="L39" s="66" t="s">
        <v>41</v>
      </c>
      <c r="M39" s="63">
        <f>MROUND(($H$2*0.09),H4)</f>
        <v>5.5</v>
      </c>
      <c r="N39" s="44"/>
      <c r="O39" s="44"/>
      <c r="P39" s="38"/>
      <c r="Q39" s="61"/>
      <c r="R39" s="61"/>
      <c r="S39" s="61"/>
    </row>
    <row r="40" spans="2:22" ht="15" customHeight="1" x14ac:dyDescent="0.25">
      <c r="B40" s="88">
        <v>4</v>
      </c>
      <c r="C40" s="26" t="s">
        <v>24</v>
      </c>
      <c r="D40" s="27">
        <f>$H$3</f>
        <v>1</v>
      </c>
      <c r="E40" s="27">
        <f>$H$3+D40</f>
        <v>2</v>
      </c>
      <c r="F40" s="35">
        <f>MROUND(($H$2*0.34),$H$4)</f>
        <v>20.5</v>
      </c>
      <c r="G40" s="35">
        <f>MROUND(($H$2*0.22),$H$4)</f>
        <v>13</v>
      </c>
      <c r="H40" s="35">
        <f>MROUND(($H$2*0.19),$H$4)</f>
        <v>11.5</v>
      </c>
      <c r="I40" s="35">
        <f>MROUND(($H$2*0.15),$H$4)</f>
        <v>9</v>
      </c>
      <c r="J40" s="35">
        <f>MROUND(($H$2*0.12),$H$4)</f>
        <v>7</v>
      </c>
      <c r="K40" s="35">
        <f>MROUND(($H$2*0.1),$H$4)</f>
        <v>6</v>
      </c>
      <c r="L40" s="35">
        <f>MROUND(($H$2*0.11),$H$4)</f>
        <v>6.5</v>
      </c>
      <c r="M40" s="64">
        <f>MROUND(($H$2*0.17),H4)-M39</f>
        <v>4.5</v>
      </c>
      <c r="N40" s="44"/>
      <c r="O40" s="45">
        <f>M39</f>
        <v>5.5</v>
      </c>
      <c r="P40" s="38"/>
      <c r="Q40" s="61"/>
      <c r="R40" s="61"/>
      <c r="S40" s="61"/>
    </row>
    <row r="41" spans="2:22" ht="15" customHeight="1" x14ac:dyDescent="0.25">
      <c r="B41" s="88"/>
      <c r="C41" s="26" t="s">
        <v>25</v>
      </c>
      <c r="D41" s="27">
        <f>D40*2</f>
        <v>2</v>
      </c>
      <c r="E41" s="27">
        <f>$H$3+D40+D41</f>
        <v>4</v>
      </c>
      <c r="F41" s="36"/>
      <c r="G41" s="36">
        <f>MROUND(($H$2*0.47),$H$4)-G40</f>
        <v>15</v>
      </c>
      <c r="H41" s="36">
        <f>MROUND(($H$2*0.36),$H$4)-H40</f>
        <v>10</v>
      </c>
      <c r="I41" s="36">
        <f>MROUND(($H$2*0.3),$H$4)-I40</f>
        <v>9</v>
      </c>
      <c r="J41" s="36">
        <f>MROUND(($H$2*0.24),$H$4)-J40</f>
        <v>7.5</v>
      </c>
      <c r="K41" s="36">
        <f>MROUND(($H$2*0.2),$H$4)-K40</f>
        <v>6</v>
      </c>
      <c r="L41" s="36">
        <f>MROUND(($H$2*0.19),$H$4)-L40</f>
        <v>5</v>
      </c>
      <c r="M41" s="63">
        <f>MROUND(($H$2*0.25),H4)-(M39+M40)</f>
        <v>5</v>
      </c>
      <c r="N41" s="44"/>
      <c r="O41" s="45">
        <f t="shared" ref="O41:O47" si="6">O40+M40</f>
        <v>10</v>
      </c>
      <c r="P41" s="38"/>
      <c r="Q41" s="61"/>
      <c r="R41" s="61"/>
      <c r="S41" s="61"/>
    </row>
    <row r="42" spans="2:22" ht="15" customHeight="1" x14ac:dyDescent="0.25">
      <c r="B42" s="88"/>
      <c r="C42" s="26" t="s">
        <v>26</v>
      </c>
      <c r="D42" s="27">
        <f>D41*2</f>
        <v>4</v>
      </c>
      <c r="E42" s="27">
        <f>$H$3+D41+D42+D40</f>
        <v>8</v>
      </c>
      <c r="F42" s="35"/>
      <c r="G42" s="35"/>
      <c r="H42" s="35">
        <f>MROUND(($H$2*0.6),$H$4)-(H40+H41)</f>
        <v>14.5</v>
      </c>
      <c r="I42" s="35">
        <f>MROUND(($H$2*0.45),$H$4)-(I40+I41)</f>
        <v>9</v>
      </c>
      <c r="J42" s="35">
        <f>MROUND(($H$2*0.36),$H$4)-(J40+J41)</f>
        <v>7</v>
      </c>
      <c r="K42" s="35">
        <f>MROUND(($H$2*0.32),$H$4)-(K40+K41)</f>
        <v>7</v>
      </c>
      <c r="L42" s="35">
        <f>MROUND(($H$2*0.27),$H$4)-(L40+L41)</f>
        <v>4.5</v>
      </c>
      <c r="M42" s="64">
        <f>MROUND(($H$2*0.34),H4)-(M39+M40+M41)</f>
        <v>5.5</v>
      </c>
      <c r="N42" s="44"/>
      <c r="O42" s="45">
        <f t="shared" si="6"/>
        <v>15</v>
      </c>
      <c r="P42" s="38"/>
      <c r="Q42" s="61"/>
      <c r="R42" s="61"/>
      <c r="S42" s="61"/>
    </row>
    <row r="43" spans="2:22" ht="15" customHeight="1" x14ac:dyDescent="0.25">
      <c r="B43" s="88"/>
      <c r="C43" s="26" t="s">
        <v>27</v>
      </c>
      <c r="D43" s="27">
        <f>D42*2</f>
        <v>8</v>
      </c>
      <c r="E43" s="27">
        <f>$H$3+D42+D43+D41+D40</f>
        <v>16</v>
      </c>
      <c r="F43" s="36"/>
      <c r="G43" s="36"/>
      <c r="H43" s="36"/>
      <c r="I43" s="36">
        <f>MROUND(($H$2*0.74),$H$4)-(I40+I41+I42)</f>
        <v>17.5</v>
      </c>
      <c r="J43" s="36">
        <f>MROUND(($H$2*0.47),$H$4)-(J40+J41+J42)</f>
        <v>6.5</v>
      </c>
      <c r="K43" s="36">
        <f>MROUND(($H$2*0.4),$H$4)-(K40+K41+K42)</f>
        <v>5</v>
      </c>
      <c r="L43" s="36">
        <f>MROUND(($H$2*0.37),$H$4)-(L40+L41+L42)</f>
        <v>6</v>
      </c>
      <c r="M43" s="63">
        <f>MROUND(($H$2*0.42),H4)-(M39+M40+M41+M42)</f>
        <v>4.5</v>
      </c>
      <c r="N43" s="44"/>
      <c r="O43" s="45">
        <f t="shared" si="6"/>
        <v>20.5</v>
      </c>
      <c r="P43" s="38"/>
      <c r="Q43" s="61"/>
      <c r="R43" s="61"/>
      <c r="S43" s="61"/>
    </row>
    <row r="44" spans="2:22" ht="15" customHeight="1" x14ac:dyDescent="0.25">
      <c r="B44" s="88"/>
      <c r="C44" s="26" t="s">
        <v>28</v>
      </c>
      <c r="D44" s="27">
        <f t="shared" ref="D44:D46" si="7">D43*2</f>
        <v>16</v>
      </c>
      <c r="E44" s="27">
        <f>$H$3+D43+D44+D42+D41+D40</f>
        <v>32</v>
      </c>
      <c r="F44" s="35"/>
      <c r="G44" s="35"/>
      <c r="H44" s="35"/>
      <c r="I44" s="35"/>
      <c r="J44" s="35">
        <f>MROUND(($H$2*0.75),$H$4)-(J40+J41+J42+J43)</f>
        <v>17</v>
      </c>
      <c r="K44" s="35">
        <f>MROUND(($H$2*0.52),$H$4)-(K40+K41+K42+K43)</f>
        <v>7</v>
      </c>
      <c r="L44" s="35">
        <f>MROUND(($H$2*0.46),$H$4)-(L40+L41+L42+L43)</f>
        <v>5.5</v>
      </c>
      <c r="M44" s="64">
        <f>MROUND(($H$2*0.5),H4)-(M39+M40+M41+M42+M43)</f>
        <v>5</v>
      </c>
      <c r="N44" s="44"/>
      <c r="O44" s="45">
        <f t="shared" si="6"/>
        <v>25</v>
      </c>
      <c r="P44" s="38"/>
      <c r="Q44" s="61"/>
      <c r="R44" s="61"/>
      <c r="S44" s="61"/>
    </row>
    <row r="45" spans="2:22" ht="15" customHeight="1" x14ac:dyDescent="0.25">
      <c r="B45" s="88"/>
      <c r="C45" s="26" t="s">
        <v>29</v>
      </c>
      <c r="D45" s="27">
        <f t="shared" si="7"/>
        <v>32</v>
      </c>
      <c r="E45" s="27">
        <f>$H$3+D44+D45+D43+D42+D41+D40</f>
        <v>64</v>
      </c>
      <c r="F45" s="36"/>
      <c r="G45" s="36"/>
      <c r="H45" s="36"/>
      <c r="I45" s="36"/>
      <c r="J45" s="36"/>
      <c r="K45" s="36">
        <f>MROUND(($H$2*0.76),$H$4)-(K40+K41+K42+K43+K44)</f>
        <v>14.5</v>
      </c>
      <c r="L45" s="36">
        <f>MROUND(($H$2*0.58),$H$4)-(L40+L41+L42+L43+L44)</f>
        <v>7.5</v>
      </c>
      <c r="M45" s="63">
        <f>MROUND(($H$2*0.69),H4)-(M40+M41+M42+M43+M44+M39)</f>
        <v>11.5</v>
      </c>
      <c r="N45" s="44"/>
      <c r="O45" s="45">
        <f t="shared" si="6"/>
        <v>30</v>
      </c>
      <c r="P45" s="38"/>
      <c r="Q45" s="61"/>
      <c r="R45" s="61"/>
      <c r="S45" s="61"/>
    </row>
    <row r="46" spans="2:22" ht="15" customHeight="1" x14ac:dyDescent="0.25">
      <c r="B46" s="88"/>
      <c r="C46" s="26" t="s">
        <v>30</v>
      </c>
      <c r="D46" s="27">
        <f t="shared" si="7"/>
        <v>64</v>
      </c>
      <c r="E46" s="27">
        <f>$H$3+D45+D46+D44+D43+D42+D41+D40</f>
        <v>128</v>
      </c>
      <c r="F46" s="35"/>
      <c r="G46" s="35"/>
      <c r="H46" s="35"/>
      <c r="I46" s="35"/>
      <c r="J46" s="35"/>
      <c r="K46" s="35"/>
      <c r="L46" s="35">
        <f>MROUND(($H$2*0.8),$H$4)-(L41+L42+L43+L44+L45+L40)</f>
        <v>13</v>
      </c>
      <c r="M46" s="64">
        <f>MROUND(($H$2*0.9),H4)-(M39+M41+M42+M43+M44+M45+M40)</f>
        <v>12.5</v>
      </c>
      <c r="N46" s="68"/>
      <c r="O46" s="45">
        <f t="shared" si="6"/>
        <v>41.5</v>
      </c>
      <c r="P46" s="38"/>
      <c r="Q46" s="61"/>
      <c r="R46" s="61"/>
      <c r="S46" s="61"/>
    </row>
    <row r="47" spans="2:22" x14ac:dyDescent="0.25">
      <c r="C47" s="7"/>
      <c r="D47" s="7"/>
      <c r="E47" s="29" t="s">
        <v>22</v>
      </c>
      <c r="F47" s="28">
        <f>(($H$2*D40)*$H$3*$F$4)+(($H$2-F40)*D40*$F$4)</f>
        <v>995</v>
      </c>
      <c r="G47" s="28">
        <f>(($H$2*$H$3)*D40*$F$4)+(($H$2-G40)*D40*$F$4)+(($H$2-(G40+G41))*D41*$F$4)</f>
        <v>1710</v>
      </c>
      <c r="H47" s="28">
        <f>(($H$2*$H$3)*D40*$F$4)+(($H$2-H40)*D40*$F$4)+(($H$2-(H40+H41))*D41*$F$4)+(($H$2-(H40+H41+H42))*D42*$F$4)</f>
        <v>2815</v>
      </c>
      <c r="I47" s="28">
        <f>(($H$2*$H$3)*D40*$F$4)+(($H$2-I40)*D40*$F$4)+(($H$2-(I40+I41))*D41*$F$4)+(($H$2-(I40+I41+I42))*D42*$F$4)+(($H$2-(I40+I41+I42+I43))*D43*$F$4)</f>
        <v>4510</v>
      </c>
      <c r="J47" s="28">
        <f>(($H$2*$H$3)*D40*$F$4)+(($H$2-J40)*D40*$F$4)+(($H$2-(J40+J41))*D41*$F$4)+(($H$2-(J40+J41+J42))*D42*$F$4)+(($H$2-(J40+J41+J42+J43))*D43*$F$4)+(($H$2-(J40+J41+J42+J43+J44))*D44*$F$4)</f>
        <v>8540</v>
      </c>
      <c r="K47" s="28">
        <f>(($H$2*$H$3)*D40*$F$4)+(($H$2-K40)*D40*$F$4)+(($H$2-(K40+K41))*D41*$F$4)+(($H$2-(K40+K41+K42))*D42*$F$4)+(($H$2-(K40+K41+K42+K43))*D43*$F$4)+(($H$2-(K40+K41+K42+K43+K44))*D44*$F$4)+(($H$2-(K40+K41+K42+K43+K44+K45))*D45*$F$4)</f>
        <v>15900</v>
      </c>
      <c r="L47" s="28">
        <f>(($H$2*$H$3)*D40*$F$4)+(($H$2-L40)*D40*$F$4)+(($H$2-(L40+L41))*D41*$F$4)+(($H$2-(L40+L41+L42))*D42*$F$4)+(($H$2-(L40+L41+L42+L43))*D43*$F$4)+(($H$2-(L40+L41+L42+L43+L44))*D44*$F$4)+(($H$2-(L40+L41+L42+L43+L44+L45))*D45*$F$4)+(($H$2-(L40+L41+L42+L43+L44+L45+L46))*D46*$F$4)</f>
        <v>27785</v>
      </c>
      <c r="M47" s="44"/>
      <c r="N47" s="44"/>
      <c r="O47" s="45">
        <f t="shared" si="6"/>
        <v>54</v>
      </c>
      <c r="P47" s="38"/>
      <c r="Q47" s="61"/>
      <c r="R47" s="61"/>
      <c r="S47" s="61"/>
    </row>
    <row r="48" spans="2:22" x14ac:dyDescent="0.25">
      <c r="C48" s="7"/>
      <c r="D48" s="7"/>
      <c r="E48" s="7"/>
      <c r="F48" s="7"/>
      <c r="G48" s="7"/>
      <c r="H48" s="7"/>
      <c r="I48" s="7"/>
      <c r="J48" s="7"/>
      <c r="K48" s="7"/>
      <c r="L48" s="7"/>
      <c r="M48" s="7"/>
      <c r="N48" s="7"/>
      <c r="O48" s="7"/>
      <c r="P48" s="44"/>
      <c r="V48" s="38"/>
    </row>
    <row r="49" spans="2:24" x14ac:dyDescent="0.25">
      <c r="C49" s="7"/>
      <c r="D49" s="90" t="s">
        <v>59</v>
      </c>
      <c r="E49" s="91"/>
      <c r="F49" s="92"/>
      <c r="G49" s="7"/>
      <c r="H49" s="7"/>
      <c r="I49" s="7"/>
      <c r="J49" s="7"/>
      <c r="K49" s="7"/>
      <c r="L49" s="7"/>
      <c r="M49" s="7"/>
      <c r="N49" s="7"/>
      <c r="O49" s="7"/>
      <c r="P49" s="44"/>
    </row>
    <row r="50" spans="2:24" x14ac:dyDescent="0.25">
      <c r="C50" s="7"/>
      <c r="D50" s="66" t="s">
        <v>34</v>
      </c>
      <c r="E50" s="66" t="s">
        <v>45</v>
      </c>
      <c r="F50" s="66" t="s">
        <v>35</v>
      </c>
      <c r="G50" s="66" t="s">
        <v>36</v>
      </c>
      <c r="H50" s="66" t="s">
        <v>37</v>
      </c>
      <c r="I50" s="66" t="s">
        <v>38</v>
      </c>
      <c r="J50" s="66" t="s">
        <v>39</v>
      </c>
      <c r="K50" s="66" t="s">
        <v>40</v>
      </c>
      <c r="L50" s="66" t="s">
        <v>41</v>
      </c>
      <c r="M50" s="69"/>
      <c r="N50" s="69"/>
      <c r="O50" s="69"/>
      <c r="P50" s="44">
        <v>0</v>
      </c>
      <c r="Q50" s="61"/>
    </row>
    <row r="51" spans="2:24" ht="15" customHeight="1" x14ac:dyDescent="0.25">
      <c r="B51" s="88">
        <v>5</v>
      </c>
      <c r="C51" s="26" t="s">
        <v>24</v>
      </c>
      <c r="D51" s="27">
        <f>$H$3</f>
        <v>1</v>
      </c>
      <c r="E51" s="27">
        <f>$H$3+D51</f>
        <v>2</v>
      </c>
      <c r="F51" s="35">
        <f>MROUND(($H$2*0.34),$H$4)</f>
        <v>20.5</v>
      </c>
      <c r="G51" s="35">
        <f>MROUND(($H$2*0.22),$H$4)</f>
        <v>13</v>
      </c>
      <c r="H51" s="35">
        <f>MROUND(($H$2*0.17),$H$4)</f>
        <v>10</v>
      </c>
      <c r="I51" s="35">
        <f>MROUND(($H$2*0.13),$H$4)</f>
        <v>8</v>
      </c>
      <c r="J51" s="35">
        <f>MROUND(($H$2*0.11),$H$4)</f>
        <v>6.5</v>
      </c>
      <c r="K51" s="35">
        <f>MROUND(($H$2*0.1),$H$4)</f>
        <v>6</v>
      </c>
      <c r="L51" s="35">
        <f>MROUND(($H$2*0.1),$H$4)</f>
        <v>6</v>
      </c>
      <c r="M51" s="69"/>
      <c r="N51" s="69"/>
      <c r="O51" s="69"/>
      <c r="P51" s="44">
        <f>L51</f>
        <v>6</v>
      </c>
      <c r="Q51" s="61"/>
    </row>
    <row r="52" spans="2:24" ht="15" customHeight="1" x14ac:dyDescent="0.25">
      <c r="B52" s="88"/>
      <c r="C52" s="26" t="s">
        <v>25</v>
      </c>
      <c r="D52" s="27">
        <f>D51*2</f>
        <v>2</v>
      </c>
      <c r="E52" s="27">
        <f>$H$3+D51+D52</f>
        <v>4</v>
      </c>
      <c r="F52" s="36"/>
      <c r="G52" s="36">
        <f>MROUND(($H$2*0.53),$H$4)-G51</f>
        <v>19</v>
      </c>
      <c r="H52" s="36">
        <f>MROUND(($H$2*0.33),$H$4)-H51</f>
        <v>10</v>
      </c>
      <c r="I52" s="36">
        <f>MROUND(($H$2*0.27),$H$4)-I51</f>
        <v>8</v>
      </c>
      <c r="J52" s="36">
        <f>MROUND(($H$2*0.23),$H$4)-J51</f>
        <v>7.5</v>
      </c>
      <c r="K52" s="36">
        <f>MROUND(($H$2*0.2),$H$4)-K51</f>
        <v>6</v>
      </c>
      <c r="L52" s="36">
        <f>MROUND(($H$2*0.19),$H$4)-L51</f>
        <v>5.5</v>
      </c>
      <c r="M52" s="69"/>
      <c r="N52" s="69"/>
      <c r="O52" s="69"/>
      <c r="P52" s="44">
        <f>P51+L52</f>
        <v>11.5</v>
      </c>
      <c r="Q52" s="61"/>
    </row>
    <row r="53" spans="2:24" ht="15" customHeight="1" x14ac:dyDescent="0.25">
      <c r="B53" s="88"/>
      <c r="C53" s="26" t="s">
        <v>26</v>
      </c>
      <c r="D53" s="27">
        <f>D52*2</f>
        <v>4</v>
      </c>
      <c r="E53" s="27">
        <f>$H$3+D52+D53+D51</f>
        <v>8</v>
      </c>
      <c r="F53" s="35"/>
      <c r="G53" s="35"/>
      <c r="H53" s="35">
        <f>MROUND(($H$2*0.62),$H$4)-(H51+H52)</f>
        <v>17</v>
      </c>
      <c r="I53" s="35">
        <f>MROUND(($H$2*0.44),$H$4)-(I51+I52)</f>
        <v>10.5</v>
      </c>
      <c r="J53" s="35">
        <f>MROUND(($H$2*0.34),$H$4)-(J51+J52)</f>
        <v>6.5</v>
      </c>
      <c r="K53" s="35">
        <f>MROUND(($H$2*0.29),$H$4)-(K51+K52)</f>
        <v>5.5</v>
      </c>
      <c r="L53" s="35">
        <f>MROUND(($H$2*0.28),$H$4)-(L51+L52)</f>
        <v>5.5</v>
      </c>
      <c r="M53" s="69"/>
      <c r="N53" s="69"/>
      <c r="O53" s="69"/>
      <c r="P53" s="44">
        <f t="shared" ref="P53:P57" si="8">P52+L53</f>
        <v>17</v>
      </c>
      <c r="Q53" s="61"/>
    </row>
    <row r="54" spans="2:24" ht="15" customHeight="1" x14ac:dyDescent="0.25">
      <c r="B54" s="88"/>
      <c r="C54" s="26" t="s">
        <v>27</v>
      </c>
      <c r="D54" s="27">
        <f>D53*2</f>
        <v>8</v>
      </c>
      <c r="E54" s="27">
        <f>$H$3+D53+D54+D52+D51</f>
        <v>16</v>
      </c>
      <c r="F54" s="36"/>
      <c r="G54" s="36"/>
      <c r="H54" s="36"/>
      <c r="I54" s="36">
        <f>MROUND(($H$2*0.74),$H$4)-(I51+I52+I53)</f>
        <v>18</v>
      </c>
      <c r="J54" s="36">
        <f>MROUND(($H$2*0.55),$H$4)-(J51+J52+J53)</f>
        <v>12.5</v>
      </c>
      <c r="K54" s="36">
        <f>MROUND(($H$2*0.4),$H$4)-(K51+K52+K53)</f>
        <v>6.5</v>
      </c>
      <c r="L54" s="36">
        <f>MROUND(($H$2*0.37),$H$4)-(L51+L52+L53)</f>
        <v>5</v>
      </c>
      <c r="M54" s="69"/>
      <c r="N54" s="69"/>
      <c r="O54" s="69"/>
      <c r="P54" s="44">
        <f t="shared" si="8"/>
        <v>22</v>
      </c>
      <c r="Q54" s="61"/>
    </row>
    <row r="55" spans="2:24" ht="15" customHeight="1" x14ac:dyDescent="0.25">
      <c r="B55" s="88"/>
      <c r="C55" s="26" t="s">
        <v>28</v>
      </c>
      <c r="D55" s="27">
        <f t="shared" ref="D55:D57" si="9">D54*2</f>
        <v>16</v>
      </c>
      <c r="E55" s="27">
        <f>$H$3+D54+D55+D53+D52+D51</f>
        <v>32</v>
      </c>
      <c r="F55" s="35"/>
      <c r="G55" s="35"/>
      <c r="H55" s="35"/>
      <c r="I55" s="35"/>
      <c r="J55" s="35">
        <f>MROUND(($H$2*0.8),$H$4)-(J51+J52+J53+J54)</f>
        <v>15</v>
      </c>
      <c r="K55" s="35">
        <f>MROUND(($H$2*0.59),$H$4)-(K51+K52+K53+K54)</f>
        <v>11.5</v>
      </c>
      <c r="L55" s="35">
        <f>MROUND(($H$2*0.53),$H$4)-(L51+L52+L53+L54)</f>
        <v>10</v>
      </c>
      <c r="M55" s="69"/>
      <c r="N55" s="69"/>
      <c r="O55" s="69"/>
      <c r="P55" s="44">
        <f t="shared" si="8"/>
        <v>32</v>
      </c>
      <c r="Q55" s="61"/>
    </row>
    <row r="56" spans="2:24" ht="15" customHeight="1" x14ac:dyDescent="0.25">
      <c r="B56" s="88"/>
      <c r="C56" s="26" t="s">
        <v>29</v>
      </c>
      <c r="D56" s="27">
        <f t="shared" si="9"/>
        <v>32</v>
      </c>
      <c r="E56" s="27">
        <f>$H$3+D55+D56+D54+D53+D52+D51</f>
        <v>64</v>
      </c>
      <c r="F56" s="36"/>
      <c r="G56" s="36"/>
      <c r="H56" s="36"/>
      <c r="I56" s="36"/>
      <c r="J56" s="36"/>
      <c r="K56" s="36">
        <f>MROUND(($H$2*0.8),$H$4)-(K51+K52+K53+K54+K55)</f>
        <v>12.5</v>
      </c>
      <c r="L56" s="36">
        <f>MROUND(($H$2*0.72),$H$4)-(L51+L52+L53+L54+L55)</f>
        <v>11</v>
      </c>
      <c r="M56" s="69"/>
      <c r="N56" s="69"/>
      <c r="O56" s="69"/>
      <c r="P56" s="44">
        <f>P55+L56</f>
        <v>43</v>
      </c>
      <c r="Q56" s="61"/>
      <c r="T56" s="39"/>
      <c r="U56" s="56"/>
      <c r="V56" s="56"/>
      <c r="W56" s="23"/>
      <c r="X56" s="23"/>
    </row>
    <row r="57" spans="2:24" ht="15" customHeight="1" x14ac:dyDescent="0.25">
      <c r="B57" s="88"/>
      <c r="C57" s="26" t="s">
        <v>30</v>
      </c>
      <c r="D57" s="27">
        <f t="shared" si="9"/>
        <v>64</v>
      </c>
      <c r="E57" s="27">
        <f>$H$3+D56+D57+D55+D54+D53+D52+D51</f>
        <v>128</v>
      </c>
      <c r="F57" s="35"/>
      <c r="G57" s="35"/>
      <c r="H57" s="35"/>
      <c r="I57" s="35"/>
      <c r="J57" s="35"/>
      <c r="K57" s="35"/>
      <c r="L57" s="35">
        <f>MROUND(($H$2*0.91),$H$4)-(L52+L53+L54+L55+L56+L51)</f>
        <v>11.5</v>
      </c>
      <c r="M57" s="69"/>
      <c r="N57" s="69"/>
      <c r="O57" s="69"/>
      <c r="P57" s="44">
        <f t="shared" si="8"/>
        <v>54.5</v>
      </c>
      <c r="Q57" s="61"/>
      <c r="T57" s="7"/>
      <c r="U57" s="7"/>
      <c r="X57" s="23"/>
    </row>
    <row r="58" spans="2:24" x14ac:dyDescent="0.25">
      <c r="C58" s="7"/>
      <c r="D58" s="7"/>
      <c r="E58" s="29" t="s">
        <v>22</v>
      </c>
      <c r="F58" s="28">
        <f>(($H$2*D51)*$H$3*$F$4)+(($H$2-F51)*D51*$F$4)</f>
        <v>995</v>
      </c>
      <c r="G58" s="28">
        <f>(($H$2*$H$3)*D51*$F$4)+(($H$2-G51)*D51*$F$4)+(($H$2-(G51+G52))*D52*$F$4)</f>
        <v>1630</v>
      </c>
      <c r="H58" s="28">
        <f>(($H$2*$H$3)*D51*$F$4)+(($H$2-H51)*D51*$F$4)+(($H$2-(H51+H52))*D52*$F$4)+(($H$2-(H51+H52+H53))*D53*$F$4)</f>
        <v>2820</v>
      </c>
      <c r="I58" s="28">
        <f>(($H$2*$H$3)*D51*$F$4)+(($H$2-I51)*D51*$F$4)+(($H$2-(I51+I52))*D52*$F$4)+(($H$2-(I51+I52+I53))*D53*$F$4)+(($H$2-(I51+I52+I53+I54))*D54*$F$4)</f>
        <v>4580</v>
      </c>
      <c r="J58" s="28">
        <f>(($H$2*$H$3)*D51*$F$4)+(($H$2-J51)*D51*$F$4)+(($H$2-(J51+J52))*D52*$F$4)+(($H$2-(J51+J52+J53))*D53*$F$4)+(($H$2-(J51+J52+J53+J54))*D54*$F$4)+(($H$2-(J51+J52+J53+J54+J55))*D55*$F$4)</f>
        <v>7715</v>
      </c>
      <c r="K58" s="28">
        <f>(($H$2*$H$3)*D51*$F$4)+(($H$2-K51)*D51*$F$4)+(($H$2-(K51+K52))*D52*$F$4)+(($H$2-(K51+K52+K53))*D53*$F$4)+(($H$2-(K51+K52+K53+K54))*D54*$F$4)+(($H$2-(K51+K52+K53+K54+K55))*D55*$F$4)+(($H$2-(K51+K52+K53+K54+K55+K56))*D56*$F$4)</f>
        <v>14440</v>
      </c>
      <c r="L58" s="28">
        <f>(($H$2*$H$3)*D51*$F$4)+(($H$2-L51)*D51*$F$4)+(($H$2-(L51+L52))*D52*$F$4)+(($H$2-(L51+L52+L53))*D53*$F$4)+(($H$2-(L51+L52+L53+L54))*D54*$F$4)+(($H$2-(L51+L52+L53+L54+L55))*D55*$F$4)+(($H$2-(L51+L52+L53+L54+L55+L56))*D56*$F$4)+(($H$2-(L51+L52+L53+L54+L55+L56+L57))*D57*$F$4)</f>
        <v>20310</v>
      </c>
      <c r="M58" s="69"/>
      <c r="N58" s="69"/>
      <c r="O58" s="69"/>
      <c r="P58" s="69"/>
      <c r="Q58" s="61"/>
    </row>
    <row r="59" spans="2:24" x14ac:dyDescent="0.25">
      <c r="C59" s="7"/>
      <c r="D59" s="7"/>
      <c r="E59" s="7"/>
      <c r="F59" s="7"/>
      <c r="G59" s="7"/>
      <c r="H59" s="7"/>
      <c r="I59" s="7"/>
      <c r="J59" s="7"/>
      <c r="K59" s="7"/>
      <c r="L59" s="7"/>
      <c r="M59" s="55"/>
      <c r="N59" s="55"/>
      <c r="O59" s="55"/>
      <c r="P59" s="44"/>
    </row>
    <row r="60" spans="2:24" x14ac:dyDescent="0.25">
      <c r="C60" s="7"/>
      <c r="D60" s="90" t="s">
        <v>51</v>
      </c>
      <c r="E60" s="91"/>
      <c r="F60" s="92"/>
      <c r="G60" s="7"/>
      <c r="H60" s="7"/>
      <c r="I60" s="7"/>
      <c r="J60" s="7"/>
      <c r="K60" s="7"/>
      <c r="L60" s="7"/>
      <c r="M60" s="7"/>
      <c r="N60" s="7"/>
      <c r="O60" s="44"/>
      <c r="P60" s="7"/>
      <c r="Q60" s="61"/>
      <c r="S60" s="39"/>
      <c r="T60" s="40"/>
    </row>
    <row r="61" spans="2:24" x14ac:dyDescent="0.25">
      <c r="C61" s="7"/>
      <c r="D61" s="66" t="s">
        <v>34</v>
      </c>
      <c r="E61" s="66" t="s">
        <v>45</v>
      </c>
      <c r="F61" s="66" t="s">
        <v>35</v>
      </c>
      <c r="G61" s="66" t="s">
        <v>36</v>
      </c>
      <c r="H61" s="66" t="s">
        <v>37</v>
      </c>
      <c r="I61" s="66" t="s">
        <v>38</v>
      </c>
      <c r="J61" s="66" t="s">
        <v>39</v>
      </c>
      <c r="K61" s="66" t="s">
        <v>40</v>
      </c>
      <c r="L61" s="66" t="s">
        <v>41</v>
      </c>
      <c r="M61" s="7"/>
      <c r="N61" s="7"/>
      <c r="O61" s="44">
        <v>0</v>
      </c>
      <c r="P61" s="7"/>
      <c r="Q61" s="61"/>
      <c r="S61" s="39"/>
      <c r="T61" s="40"/>
    </row>
    <row r="62" spans="2:24" ht="15" customHeight="1" x14ac:dyDescent="0.25">
      <c r="B62" s="88">
        <v>6</v>
      </c>
      <c r="C62" s="26" t="s">
        <v>24</v>
      </c>
      <c r="D62" s="27">
        <f>$H$3</f>
        <v>1</v>
      </c>
      <c r="E62" s="27">
        <f>$H$3+D62</f>
        <v>2</v>
      </c>
      <c r="F62" s="35">
        <f>MROUND(($H$2*0.5),$H$4)</f>
        <v>30</v>
      </c>
      <c r="G62" s="35">
        <f>MROUND(($H$2*0.333),$H$4)</f>
        <v>20</v>
      </c>
      <c r="H62" s="35">
        <f>MROUND(($H$2*0.25),$H$4)</f>
        <v>15</v>
      </c>
      <c r="I62" s="35">
        <f>MROUND(($H$2*0.2),$H$4)</f>
        <v>12</v>
      </c>
      <c r="J62" s="35">
        <f>MROUND(($H$2*0.166),$H$4)</f>
        <v>10</v>
      </c>
      <c r="K62" s="35">
        <f>MROUND(($H$2*0.142),$H$4)</f>
        <v>8.5</v>
      </c>
      <c r="L62" s="35">
        <f>MROUND(($H$2*0.125),$H$4)</f>
        <v>7.5</v>
      </c>
      <c r="M62" s="7"/>
      <c r="N62" s="7"/>
      <c r="O62" s="45">
        <f>L62</f>
        <v>7.5</v>
      </c>
      <c r="P62" s="7"/>
      <c r="Q62" s="61"/>
      <c r="S62" s="39"/>
      <c r="T62" s="40"/>
    </row>
    <row r="63" spans="2:24" ht="15" customHeight="1" x14ac:dyDescent="0.25">
      <c r="B63" s="88"/>
      <c r="C63" s="26" t="s">
        <v>25</v>
      </c>
      <c r="D63" s="27">
        <f>D62*2</f>
        <v>2</v>
      </c>
      <c r="E63" s="27">
        <f>$H$3+D62+D63</f>
        <v>4</v>
      </c>
      <c r="F63" s="36"/>
      <c r="G63" s="36">
        <f>MROUND(($H$2*0.666),$H$4)-G62</f>
        <v>20</v>
      </c>
      <c r="H63" s="36">
        <f>MROUND(($H$2*0.5),$H$4)-H62</f>
        <v>15</v>
      </c>
      <c r="I63" s="36">
        <f>MROUND(($H$2*0.4),$H$4)-I62</f>
        <v>12</v>
      </c>
      <c r="J63" s="36">
        <f>MROUND(($H$2*0.333),$H$4)-J62</f>
        <v>10</v>
      </c>
      <c r="K63" s="36">
        <f>MROUND(($H$2*0.285),$H$4)-K62</f>
        <v>8.5</v>
      </c>
      <c r="L63" s="36">
        <f>MROUND(($H$2*0.25),$H$4)-L62</f>
        <v>7.5</v>
      </c>
      <c r="M63" s="7"/>
      <c r="N63" s="7"/>
      <c r="O63" s="45">
        <f t="shared" ref="O63:O68" si="10">O62+L63</f>
        <v>15</v>
      </c>
      <c r="P63" s="7"/>
      <c r="Q63" s="61"/>
      <c r="S63" s="39"/>
      <c r="T63" s="40"/>
    </row>
    <row r="64" spans="2:24" ht="15" customHeight="1" x14ac:dyDescent="0.25">
      <c r="B64" s="88"/>
      <c r="C64" s="26" t="s">
        <v>26</v>
      </c>
      <c r="D64" s="27">
        <f>D63*2</f>
        <v>4</v>
      </c>
      <c r="E64" s="27">
        <f>$H$3+D63+D64+D62</f>
        <v>8</v>
      </c>
      <c r="F64" s="35"/>
      <c r="G64" s="35"/>
      <c r="H64" s="35">
        <f>MROUND(($H$2*0.75),$H$4)-(H62+H63)</f>
        <v>15</v>
      </c>
      <c r="I64" s="35">
        <f>MROUND(($H$2*0.6),$H$4)-(I62+I63)</f>
        <v>12</v>
      </c>
      <c r="J64" s="35">
        <f>MROUND(($H$2*0.5),$H$4)-(J62+J63)</f>
        <v>10</v>
      </c>
      <c r="K64" s="35">
        <f>MROUND(($H$2*0.428),$H$4)-(K62+K63)</f>
        <v>8.5</v>
      </c>
      <c r="L64" s="35">
        <f>MROUND(($H$2*0.375),$H$4)-(L62+L63)</f>
        <v>7.5</v>
      </c>
      <c r="M64" s="7"/>
      <c r="N64" s="7"/>
      <c r="O64" s="45">
        <f t="shared" si="10"/>
        <v>22.5</v>
      </c>
      <c r="P64" s="7"/>
      <c r="Q64" s="61"/>
      <c r="S64" s="39"/>
      <c r="T64" s="40"/>
    </row>
    <row r="65" spans="2:25" ht="15" customHeight="1" x14ac:dyDescent="0.25">
      <c r="B65" s="88"/>
      <c r="C65" s="26" t="s">
        <v>27</v>
      </c>
      <c r="D65" s="27">
        <f>D64*2</f>
        <v>8</v>
      </c>
      <c r="E65" s="27">
        <f>$H$3+D64+D65+D63+D62</f>
        <v>16</v>
      </c>
      <c r="F65" s="36"/>
      <c r="G65" s="36"/>
      <c r="H65" s="36"/>
      <c r="I65" s="36">
        <f>MROUND(($H$2*0.8),$H$4)-(I62+I63+I64)</f>
        <v>12</v>
      </c>
      <c r="J65" s="36">
        <f>MROUND(($H$2*0.666),$H$4)-(J62+J63+J64)</f>
        <v>10</v>
      </c>
      <c r="K65" s="36">
        <f>MROUND(($H$2*0.571),$H$4)-(K62+K63+K64)</f>
        <v>9</v>
      </c>
      <c r="L65" s="36">
        <f>MROUND(($H$2*0.5),$H$4)-(L62+L63+L64)</f>
        <v>7.5</v>
      </c>
      <c r="M65" s="7"/>
      <c r="N65" s="7"/>
      <c r="O65" s="45">
        <f t="shared" si="10"/>
        <v>30</v>
      </c>
      <c r="P65" s="7"/>
      <c r="Q65" s="61"/>
      <c r="S65" s="39"/>
      <c r="T65" s="40"/>
    </row>
    <row r="66" spans="2:25" ht="15" customHeight="1" x14ac:dyDescent="0.25">
      <c r="B66" s="88"/>
      <c r="C66" s="26" t="s">
        <v>28</v>
      </c>
      <c r="D66" s="27">
        <f t="shared" ref="D66:D68" si="11">D65*2</f>
        <v>16</v>
      </c>
      <c r="E66" s="27">
        <f>$H$3+D65+D66+D64+D63+D62</f>
        <v>32</v>
      </c>
      <c r="F66" s="35"/>
      <c r="G66" s="35"/>
      <c r="H66" s="35"/>
      <c r="I66" s="35"/>
      <c r="J66" s="35">
        <f>MROUND(($H$2*0.833),$H$4)-(J62+J63+J64+J65)</f>
        <v>10</v>
      </c>
      <c r="K66" s="35">
        <f>MROUND(($H$2*0.712),$H$4)-(K62+K63+K64+K65)</f>
        <v>8</v>
      </c>
      <c r="L66" s="35">
        <f>MROUND(($H$2*0.625),$H$4)-(L62+L63+L64+L65)</f>
        <v>7.5</v>
      </c>
      <c r="M66" s="7"/>
      <c r="N66" s="7"/>
      <c r="O66" s="45">
        <f t="shared" si="10"/>
        <v>37.5</v>
      </c>
      <c r="P66" s="7"/>
      <c r="Q66" s="61"/>
      <c r="S66" s="39"/>
      <c r="T66" s="40"/>
    </row>
    <row r="67" spans="2:25" ht="15" customHeight="1" x14ac:dyDescent="0.25">
      <c r="B67" s="88"/>
      <c r="C67" s="26" t="s">
        <v>29</v>
      </c>
      <c r="D67" s="27">
        <f t="shared" si="11"/>
        <v>32</v>
      </c>
      <c r="E67" s="27">
        <f>$H$3+D66+D67+D65+D64+D63+D62</f>
        <v>64</v>
      </c>
      <c r="F67" s="36"/>
      <c r="G67" s="36"/>
      <c r="H67" s="36"/>
      <c r="I67" s="36"/>
      <c r="J67" s="36"/>
      <c r="K67" s="36">
        <f>MROUND(($H$2*0.857),$H$4)-(K62+K63+K64+K65+K66)</f>
        <v>9</v>
      </c>
      <c r="L67" s="36">
        <f>MROUND(($H$2*0.75),$H$4)-(L62+L63+L64+L65+L66)</f>
        <v>7.5</v>
      </c>
      <c r="M67" s="7"/>
      <c r="N67" s="7"/>
      <c r="O67" s="45">
        <f t="shared" si="10"/>
        <v>45</v>
      </c>
      <c r="P67" s="7"/>
      <c r="Q67" s="61"/>
      <c r="S67" s="39"/>
      <c r="T67" s="40"/>
    </row>
    <row r="68" spans="2:25" ht="15" customHeight="1" x14ac:dyDescent="0.25">
      <c r="B68" s="88"/>
      <c r="C68" s="26" t="s">
        <v>30</v>
      </c>
      <c r="D68" s="27">
        <f t="shared" si="11"/>
        <v>64</v>
      </c>
      <c r="E68" s="27">
        <f>$H$3+D67+D68+D66+D65+D64+D63+D62</f>
        <v>128</v>
      </c>
      <c r="F68" s="35"/>
      <c r="G68" s="35"/>
      <c r="H68" s="35"/>
      <c r="I68" s="35"/>
      <c r="J68" s="35"/>
      <c r="K68" s="35"/>
      <c r="L68" s="35">
        <f>MROUND(($H$2*0.875),$H$4)-(L63+L64+L65+L66+L67+L62)</f>
        <v>7.5</v>
      </c>
      <c r="M68" s="7"/>
      <c r="N68" s="7"/>
      <c r="O68" s="45">
        <f t="shared" si="10"/>
        <v>52.5</v>
      </c>
      <c r="P68" s="7"/>
      <c r="Q68" s="61"/>
      <c r="S68" s="39"/>
      <c r="T68" s="40"/>
    </row>
    <row r="69" spans="2:25" x14ac:dyDescent="0.25">
      <c r="C69" s="7"/>
      <c r="D69" s="7"/>
      <c r="E69" s="29" t="s">
        <v>22</v>
      </c>
      <c r="F69" s="28">
        <f>(($H$2*D62)*$H$3*$F$4)+(($H$2-F62)*D62*$F$4)</f>
        <v>900</v>
      </c>
      <c r="G69" s="28">
        <f>(($H$2*$H$3)*D62*$F$4)+(($H$2-G62)*D62*$F$4)+(($H$2-(G62+G63))*D63*$F$4)</f>
        <v>1400</v>
      </c>
      <c r="H69" s="28">
        <f>(($H$2*$H$3)*D62*$F$4)+(($H$2-H62)*D62*$F$4)+(($H$2-(H62+H63))*D63*$F$4)+(($H$2-(H62+H63+H64))*D64*$F$4)</f>
        <v>2250</v>
      </c>
      <c r="I69" s="28">
        <f>(($H$2*$H$3)*D62*$F$4)+(($H$2-I62)*D62*$F$4)+(($H$2-(I62+I63))*D63*$F$4)+(($H$2-(I62+I63+I64))*D64*$F$4)+(($H$2-(I62+I63+I64+I65))*D65*$F$4)</f>
        <v>3720</v>
      </c>
      <c r="J69" s="28">
        <f>(($H$2*$H$3)*D62*$F$4)+(($H$2-J62)*D62*$F$4)+(($H$2-(J62+J63))*D63*$F$4)+(($H$2-(J62+J63+J64))*D64*$F$4)+(($H$2-(J62+J63+J64+J65))*D65*$F$4)+(($H$2-(J62+J63+J64+J65+J66))*D66*$F$4)</f>
        <v>6300</v>
      </c>
      <c r="K69" s="28">
        <f>(($H$2*$H$3)*D62*$F$4)+(($H$2-K62)*D62*$F$4)+(($H$2-(K62+K63))*D63*$F$4)+(($H$2-(K62+K63+K64))*D64*$F$4)+(($H$2-(K62+K63+K64+K65))*D65*$F$4)+(($H$2-(K62+K63+K64+K65+K66))*D66*$F$4)+(($H$2-(K62+K63+K64+K65+K66+K67))*D67*$F$4)</f>
        <v>10915</v>
      </c>
      <c r="L69" s="28">
        <f>(($H$2*$H$3)*D62*$F$4)+(($H$2-L62)*D62*$F$4)+(($H$2-(L62+L63))*D63*$F$4)+(($H$2-(L62+L63+L64))*D64*$F$4)+(($H$2-(L62+L63+L64+L65))*D65*$F$4)+(($H$2-(L62+L63+L64+L65+L66))*D66*$F$4)+(($H$2-(L62+L63+L64+L65+L66+L67))*D67*$F$4)+(($H$2-(L62+L63+L64+L65+L66+L67+L68))*D68*$F$4)</f>
        <v>19125</v>
      </c>
      <c r="M69" s="7"/>
      <c r="N69" s="7"/>
      <c r="P69" s="73"/>
      <c r="S69" s="39"/>
      <c r="T69" s="40"/>
    </row>
    <row r="70" spans="2:25" x14ac:dyDescent="0.25">
      <c r="C70" s="7"/>
      <c r="D70" s="7"/>
      <c r="E70" s="7"/>
      <c r="F70" s="7"/>
      <c r="G70" s="7"/>
      <c r="H70" s="7"/>
      <c r="I70" s="7"/>
      <c r="J70" s="7"/>
      <c r="K70" s="7"/>
      <c r="L70" s="7"/>
      <c r="M70" s="7"/>
      <c r="N70" s="7"/>
      <c r="O70" s="69"/>
      <c r="P70" s="67"/>
      <c r="S70" s="39"/>
      <c r="T70" s="40"/>
    </row>
    <row r="71" spans="2:25" x14ac:dyDescent="0.25">
      <c r="C71" s="7"/>
      <c r="D71" s="90" t="s">
        <v>53</v>
      </c>
      <c r="E71" s="91"/>
      <c r="F71" s="92"/>
      <c r="G71" s="7"/>
      <c r="H71" s="7"/>
      <c r="I71" s="7"/>
      <c r="J71" s="7"/>
      <c r="K71" s="7"/>
      <c r="L71" s="7"/>
      <c r="M71" s="44"/>
      <c r="N71" s="44"/>
      <c r="O71" s="44"/>
      <c r="P71" s="79">
        <f>MROUND(($H$2*0.04),$H$4)</f>
        <v>2.5</v>
      </c>
      <c r="R71" s="61"/>
      <c r="S71" s="70"/>
      <c r="T71" s="71"/>
      <c r="U71" s="61"/>
      <c r="V71" s="69"/>
    </row>
    <row r="72" spans="2:25" x14ac:dyDescent="0.25">
      <c r="C72" s="7"/>
      <c r="D72" s="66" t="s">
        <v>34</v>
      </c>
      <c r="E72" s="66" t="s">
        <v>45</v>
      </c>
      <c r="F72" s="66" t="s">
        <v>35</v>
      </c>
      <c r="G72" s="66" t="s">
        <v>36</v>
      </c>
      <c r="H72" s="66" t="s">
        <v>37</v>
      </c>
      <c r="I72" s="66" t="s">
        <v>38</v>
      </c>
      <c r="J72" s="66" t="s">
        <v>39</v>
      </c>
      <c r="K72" s="66" t="s">
        <v>40</v>
      </c>
      <c r="L72" s="66" t="s">
        <v>41</v>
      </c>
      <c r="M72" s="44"/>
      <c r="N72" s="44"/>
      <c r="O72" s="44"/>
      <c r="P72" s="80">
        <f>MROUND(($H$2*0.1),$H$4)</f>
        <v>6</v>
      </c>
      <c r="R72" s="61"/>
      <c r="S72" s="70"/>
      <c r="T72" s="71"/>
      <c r="U72" s="61"/>
      <c r="V72" s="69"/>
    </row>
    <row r="73" spans="2:25" ht="15" customHeight="1" x14ac:dyDescent="0.25">
      <c r="B73" s="88">
        <v>7</v>
      </c>
      <c r="C73" s="26" t="s">
        <v>24</v>
      </c>
      <c r="D73" s="27">
        <f>$H$3</f>
        <v>1</v>
      </c>
      <c r="E73" s="27">
        <f>$H$3+D73</f>
        <v>2</v>
      </c>
      <c r="F73" s="35">
        <f>MROUND(($H$2*0.48),$H$4)</f>
        <v>29</v>
      </c>
      <c r="G73" s="35">
        <f>MROUND(($H$2*0.2),$H$4)</f>
        <v>12</v>
      </c>
      <c r="H73" s="35">
        <f>MROUND(($H$2*0.13),$H$4)</f>
        <v>8</v>
      </c>
      <c r="I73" s="35">
        <f>MROUND(($H$2*0.1),$H$4)</f>
        <v>6</v>
      </c>
      <c r="J73" s="35">
        <f>MROUND(($H$2*0.07),$H$4)</f>
        <v>4</v>
      </c>
      <c r="K73" s="35">
        <f>MROUND(($H$2*0.07),$H$4)</f>
        <v>4</v>
      </c>
      <c r="L73" s="35">
        <f>MROUND(($H$2*0.06),$H$4)</f>
        <v>3.5</v>
      </c>
      <c r="M73" s="44"/>
      <c r="N73" s="44"/>
      <c r="O73" s="44"/>
      <c r="P73" s="79">
        <f>MROUND(($H$2*0.17),$H$4)</f>
        <v>10</v>
      </c>
      <c r="R73" s="61"/>
      <c r="S73" s="70"/>
      <c r="T73" s="71"/>
      <c r="U73" s="61"/>
      <c r="V73" s="69"/>
    </row>
    <row r="74" spans="2:25" ht="15" customHeight="1" x14ac:dyDescent="0.25">
      <c r="B74" s="88"/>
      <c r="C74" s="26" t="s">
        <v>25</v>
      </c>
      <c r="D74" s="27">
        <f>D73*2</f>
        <v>2</v>
      </c>
      <c r="E74" s="27">
        <f>$H$3+D73+D74</f>
        <v>4</v>
      </c>
      <c r="F74" s="36"/>
      <c r="G74" s="36">
        <f>MROUND(($H$2*0.81),$H$4)-G73</f>
        <v>36.5</v>
      </c>
      <c r="H74" s="36">
        <f>MROUND(($H$2*0.47),$H$4)-H73</f>
        <v>20</v>
      </c>
      <c r="I74" s="36">
        <f>MROUND(($H$2*0.32),$H$4)-I73</f>
        <v>13</v>
      </c>
      <c r="J74" s="36">
        <f>MROUND(($H$2*0.22),$H$4)-J73</f>
        <v>9</v>
      </c>
      <c r="K74" s="36">
        <f>MROUND(($H$2*0.17),$H$4)-K73</f>
        <v>6</v>
      </c>
      <c r="L74" s="36">
        <f>MROUND(($H$2*0.14),$H$4)-L73</f>
        <v>5</v>
      </c>
      <c r="M74" s="44"/>
      <c r="N74" s="44"/>
      <c r="O74" s="44"/>
      <c r="P74" s="80">
        <f>MROUND(($H$2*0.3),$H$4)</f>
        <v>18</v>
      </c>
      <c r="R74" s="61"/>
      <c r="S74" s="70"/>
      <c r="T74" s="71"/>
      <c r="U74" s="61"/>
      <c r="V74" s="69"/>
    </row>
    <row r="75" spans="2:25" ht="15" customHeight="1" x14ac:dyDescent="0.25">
      <c r="B75" s="88"/>
      <c r="C75" s="26" t="s">
        <v>26</v>
      </c>
      <c r="D75" s="27">
        <f>D74*2</f>
        <v>4</v>
      </c>
      <c r="E75" s="27">
        <f>$H$3+D74+D75+D73</f>
        <v>8</v>
      </c>
      <c r="F75" s="35"/>
      <c r="G75" s="35"/>
      <c r="H75" s="35">
        <f>MROUND(($H$2*0.87),$H$4)-(H73+H74)</f>
        <v>24</v>
      </c>
      <c r="I75" s="35">
        <f>MROUND(($H$2*0.73),$H$4)-(I73+I74)</f>
        <v>25</v>
      </c>
      <c r="J75" s="35">
        <f>MROUND(($H$2*0.53),$H$4)-(J73+J74)</f>
        <v>19</v>
      </c>
      <c r="K75" s="35">
        <f>MROUND(($H$2*0.37),$H$4)-(K73+K74)</f>
        <v>12</v>
      </c>
      <c r="L75" s="35">
        <f>MROUND(($H$2*0.28),$H$4)-(L73+L74)</f>
        <v>8.5</v>
      </c>
      <c r="M75" s="44"/>
      <c r="N75" s="44"/>
      <c r="O75" s="44"/>
      <c r="P75" s="79">
        <f>MROUND(($H$2*0.47),$H$4)</f>
        <v>28</v>
      </c>
      <c r="R75" s="61"/>
      <c r="S75" s="70"/>
      <c r="T75" s="71"/>
      <c r="U75" s="61"/>
      <c r="V75" s="69"/>
    </row>
    <row r="76" spans="2:25" ht="15" customHeight="1" x14ac:dyDescent="0.25">
      <c r="B76" s="88"/>
      <c r="C76" s="26" t="s">
        <v>27</v>
      </c>
      <c r="D76" s="27">
        <f>D75*2</f>
        <v>8</v>
      </c>
      <c r="E76" s="27">
        <f>$H$3+D75+D76+D74+D73</f>
        <v>16</v>
      </c>
      <c r="F76" s="36"/>
      <c r="G76" s="36"/>
      <c r="H76" s="36"/>
      <c r="I76" s="36">
        <f>MROUND(($H$2*0.91),$H$4)-(I73+I74+I75)</f>
        <v>10.5</v>
      </c>
      <c r="J76" s="36">
        <f>MROUND(($H$2*0.82),$H$4)-(J73+J74+J75)</f>
        <v>17</v>
      </c>
      <c r="K76" s="36">
        <f>MROUND(($H$2*0.67),$H$4)-(K73+K74+K75)</f>
        <v>18</v>
      </c>
      <c r="L76" s="36">
        <f>MROUND(($H$2*0.54),$H$4)-(L73+L74+L75)</f>
        <v>15.5</v>
      </c>
      <c r="M76" s="44"/>
      <c r="N76" s="44"/>
      <c r="O76" s="44"/>
      <c r="P76" s="80">
        <f>MROUND(($H$2*0.68),$H$4)</f>
        <v>41</v>
      </c>
      <c r="R76" s="61"/>
      <c r="S76" s="70"/>
      <c r="T76" s="71"/>
      <c r="U76" s="61"/>
      <c r="V76" s="69"/>
    </row>
    <row r="77" spans="2:25" ht="15" customHeight="1" x14ac:dyDescent="0.25">
      <c r="B77" s="88"/>
      <c r="C77" s="26" t="s">
        <v>28</v>
      </c>
      <c r="D77" s="27">
        <f t="shared" ref="D77:D79" si="12">D76*2</f>
        <v>16</v>
      </c>
      <c r="E77" s="27">
        <f>$H$3+D76+D77+D75+D74+D73</f>
        <v>32</v>
      </c>
      <c r="F77" s="35"/>
      <c r="G77" s="35"/>
      <c r="H77" s="35"/>
      <c r="I77" s="35"/>
      <c r="J77" s="35">
        <f>MROUND(($H$2*0.93),$H$4)-(J73+J74+J75+J76)</f>
        <v>7</v>
      </c>
      <c r="K77" s="35">
        <f>MROUND(($H$2*0.86),$H$4)-(K73+K74+K75+K76)</f>
        <v>11.5</v>
      </c>
      <c r="L77" s="35">
        <f>MROUND(($H$2*0.79),$H$4)-(L73+L74+L75+L76)</f>
        <v>15</v>
      </c>
      <c r="M77" s="44"/>
      <c r="N77" s="44"/>
      <c r="O77" s="44"/>
      <c r="P77" s="79">
        <f>MROUND(($H$2*0.81),$H$4)</f>
        <v>48.5</v>
      </c>
      <c r="R77" s="61"/>
      <c r="S77" s="70"/>
      <c r="T77" s="71"/>
      <c r="U77" s="61"/>
      <c r="V77" s="69"/>
    </row>
    <row r="78" spans="2:25" ht="15" customHeight="1" x14ac:dyDescent="0.25">
      <c r="B78" s="88"/>
      <c r="C78" s="26" t="s">
        <v>29</v>
      </c>
      <c r="D78" s="27">
        <f t="shared" si="12"/>
        <v>32</v>
      </c>
      <c r="E78" s="27">
        <f>$H$3+D77+D78+D76+D75+D74+D73</f>
        <v>64</v>
      </c>
      <c r="F78" s="36"/>
      <c r="G78" s="36"/>
      <c r="H78" s="36"/>
      <c r="I78" s="36"/>
      <c r="J78" s="36"/>
      <c r="K78" s="36">
        <f>MROUND(($H$2*0.93),$H$4)-(K73+K74+K75+K76+K77)</f>
        <v>4.5</v>
      </c>
      <c r="L78" s="36">
        <f>MROUND(($H$2*0.9),$H$4)-(L73+L74+L75+L76+L77)</f>
        <v>6.5</v>
      </c>
      <c r="M78" s="44"/>
      <c r="N78" s="44"/>
      <c r="O78" s="44"/>
      <c r="P78" s="79">
        <f>MROUND(($H$2*0.89),$H$4)</f>
        <v>53.5</v>
      </c>
      <c r="R78" s="61"/>
      <c r="S78" s="70"/>
      <c r="T78" s="71"/>
      <c r="U78" s="61"/>
      <c r="V78" s="69"/>
    </row>
    <row r="79" spans="2:25" ht="15" customHeight="1" x14ac:dyDescent="0.25">
      <c r="B79" s="88"/>
      <c r="C79" s="26" t="s">
        <v>30</v>
      </c>
      <c r="D79" s="27">
        <f t="shared" si="12"/>
        <v>64</v>
      </c>
      <c r="E79" s="27">
        <f>$H$3+D78+D79+D77+D76+D75+D74+D73</f>
        <v>128</v>
      </c>
      <c r="F79" s="35"/>
      <c r="G79" s="35"/>
      <c r="H79" s="35"/>
      <c r="I79" s="35"/>
      <c r="J79" s="35"/>
      <c r="K79" s="35"/>
      <c r="L79" s="35">
        <f>MROUND(($H$2*0.95),$H$4)-(L74+L75+L76+L77+L78+L73)</f>
        <v>3</v>
      </c>
      <c r="M79" s="44"/>
      <c r="N79" s="44"/>
      <c r="O79" s="44"/>
      <c r="P79" s="79">
        <f>MROUND(($H$2*0.94),$H$4)</f>
        <v>56.5</v>
      </c>
      <c r="R79" s="61"/>
      <c r="S79" s="70"/>
      <c r="T79" s="71"/>
      <c r="U79" s="61"/>
      <c r="V79" s="69"/>
    </row>
    <row r="80" spans="2:25" x14ac:dyDescent="0.25">
      <c r="C80" s="7"/>
      <c r="D80" s="7"/>
      <c r="E80" s="29" t="s">
        <v>22</v>
      </c>
      <c r="F80" s="28">
        <f>(($H$2*D73)*$H$3*$F$4)+(($H$2-F73)*D73*$F$4)</f>
        <v>910</v>
      </c>
      <c r="G80" s="28">
        <f>(($H$2*$H$3)*D73*$F$4)+(($H$2-G73)*D73*$F$4)+(($H$2-(G73+G74))*D74*$F$4)</f>
        <v>1310</v>
      </c>
      <c r="H80" s="28">
        <f>(($H$2*$H$3)*D73*$F$4)+(($H$2-H73)*D73*$F$4)+(($H$2-(H73+H74))*D74*$F$4)+(($H$2-(H73+H74+H75))*D75*$F$4)</f>
        <v>2080</v>
      </c>
      <c r="I80" s="28">
        <f>(($H$2*$H$3)*D73*$F$4)+(($H$2-I73)*D73*$F$4)+(($H$2-(I73+I74))*D74*$F$4)+(($H$2-(I73+I74+I75))*D75*$F$4)+(($H$2-(I73+I74+I75+I76))*D76*$F$4)</f>
        <v>3040</v>
      </c>
      <c r="J80" s="28">
        <f>(($H$2*$H$3)*D73*$F$4)+(($H$2-J73)*D73*$F$4)+(($H$2-(J73+J74))*D74*$F$4)+(($H$2-(J73+J74+J75))*D75*$F$4)+(($H$2-(J73+J74+J75+J76))*D76*$F$4)+(($H$2-(J73+J74+J75+J76+J77))*D77*$F$4)</f>
        <v>4740</v>
      </c>
      <c r="K80" s="28">
        <f>(($H$2*$H$3)*D73*$F$4)+(($H$2-K73)*D73*$F$4)+(($H$2-(K73+K74))*D74*$F$4)+(($H$2-(K73+K74+K75))*D75*$F$4)+(($H$2-(K73+K74+K75+K76))*D76*$F$4)+(($H$2-(K73+K74+K75+K76+K77))*D77*$F$4)+(($H$2-(K73+K74+K75+K76+K77+K78))*D78*$F$4)</f>
        <v>7920</v>
      </c>
      <c r="L80" s="28">
        <f>(($H$2*$H$3)*D73*$F$4)+(($H$2-L73)*D73*$F$4)+(($H$2-(L73+L74))*D74*$F$4)+(($H$2-(L73+L74+L75))*D75*$F$4)+(($H$2-(L73+L74+L75+L76))*D76*$F$4)+(($H$2-(L73+L74+L75+L76+L77))*D77*$F$4)+(($H$2-(L73+L74+L75+L76+L77+L78))*D78*$F$4)+(($H$2-(L73+L74+L75+L76+L77+L78+L79))*D79*$F$4)</f>
        <v>11955</v>
      </c>
      <c r="M80" s="69"/>
      <c r="N80" s="69"/>
      <c r="O80" s="69"/>
      <c r="P80" s="79">
        <f>MROUND(($H$2*0.97),$H$4)</f>
        <v>58</v>
      </c>
      <c r="Q80" s="61"/>
      <c r="R80" s="61"/>
      <c r="S80" s="70"/>
      <c r="T80" s="71"/>
      <c r="U80" s="61"/>
      <c r="V80" s="69"/>
      <c r="Y80" s="69"/>
    </row>
    <row r="81" spans="2:25" x14ac:dyDescent="0.25">
      <c r="C81" s="69"/>
      <c r="D81" s="69"/>
      <c r="E81" s="69"/>
      <c r="F81" s="69"/>
      <c r="G81" s="69"/>
      <c r="H81" s="69"/>
      <c r="I81" s="69"/>
      <c r="J81" s="69"/>
      <c r="K81" s="69"/>
      <c r="L81" s="69"/>
      <c r="M81" s="69"/>
      <c r="N81" s="69"/>
      <c r="O81" s="69"/>
      <c r="P81" s="55"/>
      <c r="Q81" s="72">
        <v>0</v>
      </c>
      <c r="R81" s="61"/>
      <c r="S81" s="70"/>
      <c r="T81" s="71"/>
      <c r="U81" s="61"/>
      <c r="V81" s="69"/>
      <c r="W81" s="69"/>
      <c r="X81" s="69"/>
      <c r="Y81" s="69"/>
    </row>
    <row r="82" spans="2:25" x14ac:dyDescent="0.25">
      <c r="C82" s="7"/>
      <c r="D82" s="90" t="s">
        <v>54</v>
      </c>
      <c r="E82" s="91"/>
      <c r="F82" s="92"/>
      <c r="G82" s="7"/>
      <c r="H82" s="7"/>
      <c r="I82" s="7"/>
      <c r="J82" s="7"/>
      <c r="K82" s="7"/>
      <c r="L82" s="7"/>
      <c r="M82" s="7"/>
      <c r="N82" s="7"/>
      <c r="O82" s="69"/>
      <c r="P82" s="83">
        <v>0</v>
      </c>
      <c r="Q82" s="72">
        <v>0</v>
      </c>
      <c r="R82" s="61"/>
      <c r="S82" s="70"/>
      <c r="T82" s="71"/>
    </row>
    <row r="83" spans="2:25" x14ac:dyDescent="0.25">
      <c r="C83" s="7"/>
      <c r="D83" s="66" t="s">
        <v>34</v>
      </c>
      <c r="E83" s="66" t="s">
        <v>45</v>
      </c>
      <c r="F83" s="66" t="s">
        <v>35</v>
      </c>
      <c r="G83" s="66" t="s">
        <v>36</v>
      </c>
      <c r="H83" s="66" t="s">
        <v>37</v>
      </c>
      <c r="I83" s="66" t="s">
        <v>38</v>
      </c>
      <c r="J83" s="66" t="s">
        <v>39</v>
      </c>
      <c r="K83" s="66" t="s">
        <v>40</v>
      </c>
      <c r="L83" s="66" t="s">
        <v>41</v>
      </c>
      <c r="M83" s="7"/>
      <c r="N83" s="7"/>
      <c r="O83" s="69"/>
      <c r="P83" s="63">
        <f>MROUND(($H$2*0.23),$H$4)</f>
        <v>14</v>
      </c>
      <c r="Q83" s="72">
        <v>0</v>
      </c>
      <c r="R83" s="61"/>
      <c r="S83" s="70"/>
      <c r="T83" s="71"/>
    </row>
    <row r="84" spans="2:25" ht="15" customHeight="1" x14ac:dyDescent="0.25">
      <c r="B84" s="88">
        <v>8</v>
      </c>
      <c r="C84" s="26" t="s">
        <v>24</v>
      </c>
      <c r="D84" s="27">
        <f>$H$3</f>
        <v>1</v>
      </c>
      <c r="E84" s="27">
        <f>$H$3+D84</f>
        <v>2</v>
      </c>
      <c r="F84" s="81">
        <f>MROUND(($H$2*0.48),$H$4)</f>
        <v>29</v>
      </c>
      <c r="G84" s="81">
        <f>MROUND(($H$2*0.4),$H$4)</f>
        <v>24</v>
      </c>
      <c r="H84" s="81">
        <f>MROUND(($H$2*0.33),$H$4)</f>
        <v>20</v>
      </c>
      <c r="I84" s="81">
        <f>MROUND(($H$2*0.3),$H$4)</f>
        <v>18</v>
      </c>
      <c r="J84" s="81">
        <f>MROUND(($H$2*0.27),$H$4)</f>
        <v>16</v>
      </c>
      <c r="K84" s="81">
        <f>MROUND(($H$2*0.26),$H$4)</f>
        <v>15.5</v>
      </c>
      <c r="L84" s="81">
        <f>MROUND(($H$2*0.23),$H$4)</f>
        <v>14</v>
      </c>
      <c r="M84" s="7"/>
      <c r="N84" s="7"/>
      <c r="O84" s="69"/>
      <c r="P84" s="64">
        <f>MROUND(($H$2*0.35),$H$4)</f>
        <v>21</v>
      </c>
      <c r="Q84" s="72">
        <v>0</v>
      </c>
      <c r="R84" s="61"/>
      <c r="S84" s="70"/>
      <c r="T84" s="71"/>
    </row>
    <row r="85" spans="2:25" ht="15" customHeight="1" x14ac:dyDescent="0.25">
      <c r="B85" s="88"/>
      <c r="C85" s="26" t="s">
        <v>25</v>
      </c>
      <c r="D85" s="27">
        <f>D84*2</f>
        <v>2</v>
      </c>
      <c r="E85" s="27">
        <f>$H$3+D84+D85</f>
        <v>4</v>
      </c>
      <c r="F85" s="82"/>
      <c r="G85" s="82">
        <f>MROUND(($H$2*0.6),$H$4)-G84</f>
        <v>12</v>
      </c>
      <c r="H85" s="82">
        <f>MROUND(($H$2*0.48),$H$4)-H84</f>
        <v>9</v>
      </c>
      <c r="I85" s="82">
        <f>MROUND(($H$2*0.43),$H$4)-I84</f>
        <v>8</v>
      </c>
      <c r="J85" s="82">
        <f>MROUND(($H$2*0.4),$H$4)-J84</f>
        <v>8</v>
      </c>
      <c r="K85" s="82">
        <f>MROUND(($H$2*0.39),$H$4)-K84</f>
        <v>8</v>
      </c>
      <c r="L85" s="82">
        <f>MROUND(($H$2*0.35),$H$4)-L84</f>
        <v>7</v>
      </c>
      <c r="M85" s="7"/>
      <c r="N85" s="7"/>
      <c r="O85" s="69"/>
      <c r="P85" s="63">
        <f>MROUND(($H$2*0.42),$H$4)</f>
        <v>25</v>
      </c>
      <c r="Q85" s="72">
        <v>0</v>
      </c>
      <c r="R85" s="61"/>
      <c r="S85" s="70"/>
      <c r="T85" s="71"/>
    </row>
    <row r="86" spans="2:25" ht="15" customHeight="1" x14ac:dyDescent="0.25">
      <c r="B86" s="88"/>
      <c r="C86" s="26" t="s">
        <v>26</v>
      </c>
      <c r="D86" s="27">
        <f>D85*2</f>
        <v>4</v>
      </c>
      <c r="E86" s="27">
        <f>$H$3+D85+D86+D84</f>
        <v>8</v>
      </c>
      <c r="F86" s="81"/>
      <c r="G86" s="81"/>
      <c r="H86" s="81">
        <f>MROUND(($H$2*0.67),$H$4)-(H84+H85)</f>
        <v>11</v>
      </c>
      <c r="I86" s="81">
        <f>MROUND(($H$2*0.55),$H$4)-(I84+I85)</f>
        <v>7</v>
      </c>
      <c r="J86" s="81">
        <f>MROUND(($H$2*0.49),$H$4)-(J84+J85)</f>
        <v>5.5</v>
      </c>
      <c r="K86" s="81">
        <f>MROUND(($H$2*0.46),$H$4)-(K84+K85)</f>
        <v>4</v>
      </c>
      <c r="L86" s="81">
        <f>MROUND(($H$2*0.43),$H$4)-(L84+L85)</f>
        <v>5</v>
      </c>
      <c r="M86" s="7"/>
      <c r="N86" s="7"/>
      <c r="O86" s="69"/>
      <c r="P86" s="64">
        <f>MROUND(($H$2*0.48),$H$4)</f>
        <v>29</v>
      </c>
      <c r="Q86" s="72">
        <v>0</v>
      </c>
      <c r="R86" s="61"/>
      <c r="S86" s="70"/>
      <c r="T86" s="71"/>
    </row>
    <row r="87" spans="2:25" ht="15" customHeight="1" x14ac:dyDescent="0.25">
      <c r="B87" s="88"/>
      <c r="C87" s="26" t="s">
        <v>27</v>
      </c>
      <c r="D87" s="27">
        <f>D86*2</f>
        <v>8</v>
      </c>
      <c r="E87" s="27">
        <f>$H$3+D86+D87+D85+D84</f>
        <v>16</v>
      </c>
      <c r="F87" s="82"/>
      <c r="G87" s="82"/>
      <c r="H87" s="82"/>
      <c r="I87" s="82">
        <f>MROUND(($H$2*0.74),$H$4)-(I84+I85+I86)</f>
        <v>11.5</v>
      </c>
      <c r="J87" s="82">
        <f>MROUND(($H$2*0.61),$H$4)-(J84+J85+J86)</f>
        <v>7</v>
      </c>
      <c r="K87" s="82">
        <f>MROUND(($H$2*0.53),$H$4)-(K84+K85+K86)</f>
        <v>4.5</v>
      </c>
      <c r="L87" s="82">
        <f>MROUND(($H$2*0.49),$H$4)-(L84+L85+L86)</f>
        <v>3.5</v>
      </c>
      <c r="M87" s="7"/>
      <c r="N87" s="7"/>
      <c r="O87" s="69"/>
      <c r="P87" s="63">
        <f>MROUND(($H$2*0.55),$H$4)</f>
        <v>33</v>
      </c>
      <c r="Q87" s="72">
        <v>0</v>
      </c>
      <c r="R87" s="61"/>
      <c r="S87" s="70"/>
      <c r="T87" s="71"/>
    </row>
    <row r="88" spans="2:25" ht="15" customHeight="1" x14ac:dyDescent="0.25">
      <c r="B88" s="88"/>
      <c r="C88" s="26" t="s">
        <v>28</v>
      </c>
      <c r="D88" s="27">
        <f t="shared" ref="D88:D90" si="13">D87*2</f>
        <v>16</v>
      </c>
      <c r="E88" s="27">
        <f>$H$3+D87+D88+D86+D85+D84</f>
        <v>32</v>
      </c>
      <c r="F88" s="81"/>
      <c r="G88" s="81"/>
      <c r="H88" s="81"/>
      <c r="I88" s="81"/>
      <c r="J88" s="81">
        <f>MROUND(($H$2*0.8),$H$4)-(J84+J85+J86+J87)</f>
        <v>11.5</v>
      </c>
      <c r="K88" s="81">
        <f>MROUND(($H$2*0.66),$H$4)-(K84+K85+K86+K87)</f>
        <v>7.5</v>
      </c>
      <c r="L88" s="81">
        <f>MROUND(($H$2*0.59),$H$4)-(L84+L85+L86+L87)</f>
        <v>6</v>
      </c>
      <c r="M88" s="7"/>
      <c r="N88" s="7"/>
      <c r="O88" s="69"/>
      <c r="P88" s="64">
        <f>MROUND(($H$2*0.63),$H$4)</f>
        <v>38</v>
      </c>
      <c r="Q88" s="72">
        <v>0</v>
      </c>
      <c r="R88" s="61"/>
      <c r="S88" s="70"/>
      <c r="T88" s="71"/>
    </row>
    <row r="89" spans="2:25" ht="15" customHeight="1" x14ac:dyDescent="0.25">
      <c r="B89" s="88"/>
      <c r="C89" s="26" t="s">
        <v>29</v>
      </c>
      <c r="D89" s="27">
        <f t="shared" si="13"/>
        <v>32</v>
      </c>
      <c r="E89" s="27">
        <f>$H$3+D88+D89+D87+D86+D85+D84</f>
        <v>64</v>
      </c>
      <c r="F89" s="82"/>
      <c r="G89" s="82"/>
      <c r="H89" s="82"/>
      <c r="I89" s="82"/>
      <c r="J89" s="82"/>
      <c r="K89" s="82">
        <f>MROUND(($H$2*0.83),$H$4)-(K84+K85+K86+K87+K88)</f>
        <v>10.5</v>
      </c>
      <c r="L89" s="82">
        <f>MROUND(($H$2*0.7),$H$4)-(L84+L85+L86+L87+L88)</f>
        <v>6.5</v>
      </c>
      <c r="M89" s="7"/>
      <c r="N89" s="7"/>
      <c r="O89" s="69"/>
      <c r="P89" s="63">
        <f>MROUND(($H$2*0.77),$H$4)</f>
        <v>46</v>
      </c>
      <c r="Q89" s="72">
        <v>0</v>
      </c>
      <c r="R89" s="61"/>
      <c r="S89" s="70"/>
      <c r="T89" s="71"/>
    </row>
    <row r="90" spans="2:25" ht="15" customHeight="1" x14ac:dyDescent="0.25">
      <c r="B90" s="88"/>
      <c r="C90" s="26" t="s">
        <v>30</v>
      </c>
      <c r="D90" s="27">
        <f t="shared" si="13"/>
        <v>64</v>
      </c>
      <c r="E90" s="27">
        <f>$H$3+D89+D90+D88+D87+D86+D85+D84</f>
        <v>128</v>
      </c>
      <c r="F90" s="81"/>
      <c r="G90" s="81"/>
      <c r="H90" s="81"/>
      <c r="I90" s="81"/>
      <c r="J90" s="81"/>
      <c r="K90" s="81"/>
      <c r="L90" s="81">
        <f>MROUND(($H$2*0.87),$H$4)-(L85+L86+L87+L88+L89+L84)</f>
        <v>10</v>
      </c>
      <c r="M90" s="7"/>
      <c r="N90" s="7"/>
      <c r="O90" s="69"/>
      <c r="P90" s="63">
        <f>MROUND(($H$2*0.92),$H$4)</f>
        <v>55</v>
      </c>
      <c r="Q90" s="72">
        <v>0</v>
      </c>
      <c r="R90" s="61"/>
      <c r="S90" s="70"/>
      <c r="T90" s="71"/>
    </row>
    <row r="91" spans="2:25" x14ac:dyDescent="0.25">
      <c r="C91" s="7"/>
      <c r="D91" s="7"/>
      <c r="E91" s="29" t="s">
        <v>22</v>
      </c>
      <c r="F91" s="28">
        <f>(($H$2*D84)*$H$3*$F$4)+(($H$2-F84)*D84*$F$4)</f>
        <v>910</v>
      </c>
      <c r="G91" s="28">
        <f>(($H$2*$H$3)*D84*$F$4)+(($H$2-G84)*D84*$F$4)+(($H$2-(G84+G85))*D85*$F$4)</f>
        <v>1440</v>
      </c>
      <c r="H91" s="28">
        <f>(($H$2*$H$3)*D84*$F$4)+(($H$2-H84)*D84*$F$4)+(($H$2-(H84+H85))*D85*$F$4)+(($H$2-(H84+H85+H86))*D86*$F$4)</f>
        <v>2420</v>
      </c>
      <c r="I91" s="28">
        <f>(($H$2*$H$3)*D84*$F$4)+(($H$2-I84)*D84*$F$4)+(($H$2-(I84+I85))*D85*$F$4)+(($H$2-(I84+I85+I86))*D86*$F$4)+(($H$2-(I84+I85+I86+I87))*D87*$F$4)</f>
        <v>4020</v>
      </c>
      <c r="J91" s="28">
        <f>(($H$2*$H$3)*D84*$F$4)+(($H$2-J84)*D84*$F$4)+(($H$2-(J84+J85))*D85*$F$4)+(($H$2-(J84+J85+J86))*D86*$F$4)+(($H$2-(J84+J85+J86+J87))*D87*$F$4)+(($H$2-(J84+J85+J86+J87+J88))*D88*$F$4)</f>
        <v>6780</v>
      </c>
      <c r="K91" s="28">
        <f>(($H$2*$H$3)*D84*$F$4)+(($H$2-K84)*D84*$F$4)+(($H$2-(K84+K85))*D85*$F$4)+(($H$2-(K84+K85+K86))*D86*$F$4)+(($H$2-(K84+K85+K86+K87))*D87*$F$4)+(($H$2-(K84+K85+K86+K87+K88))*D88*$F$4)+(($H$2-(K84+K85+K86+K87+K88+K89))*D89*$F$4)</f>
        <v>11795</v>
      </c>
      <c r="L91" s="28">
        <f>(($H$2*$H$3)*D84*$F$4)+(($H$2-L84)*D84*$F$4)+(($H$2-(L84+L85))*D85*$F$4)+(($H$2-(L84+L85+L86))*D86*$F$4)+(($H$2-(L84+L85+L86+L87))*D87*$F$4)+(($H$2-(L84+L85+L86+L87+L88))*D88*$F$4)+(($H$2-(L84+L85+L86+L87+L88+L89))*D89*$F$4)+(($H$2-(L84+L85+L86+L87+L88+L89+L90))*D90*$F$4)</f>
        <v>20440</v>
      </c>
      <c r="M91" s="7"/>
      <c r="N91" s="7"/>
      <c r="O91" s="55"/>
      <c r="P91" s="84"/>
      <c r="Q91" s="61"/>
      <c r="R91" s="61"/>
      <c r="S91" s="70"/>
      <c r="T91" s="71"/>
    </row>
    <row r="92" spans="2:25" x14ac:dyDescent="0.25">
      <c r="C92" s="7"/>
      <c r="D92" s="7"/>
      <c r="E92" s="7"/>
      <c r="F92" s="7"/>
      <c r="G92" s="7"/>
      <c r="H92" s="7"/>
      <c r="I92" s="7"/>
      <c r="J92" s="7"/>
      <c r="K92" s="7"/>
      <c r="L92" s="7"/>
      <c r="M92" s="7"/>
      <c r="N92" s="7"/>
      <c r="O92" s="55"/>
      <c r="P92" s="67">
        <v>0</v>
      </c>
      <c r="Q92" s="73"/>
      <c r="R92" s="73"/>
      <c r="S92" s="39"/>
      <c r="T92" s="40"/>
    </row>
    <row r="93" spans="2:25" x14ac:dyDescent="0.25">
      <c r="C93" s="7"/>
      <c r="D93" s="90" t="s">
        <v>49</v>
      </c>
      <c r="E93" s="91"/>
      <c r="F93" s="92"/>
      <c r="G93" s="7"/>
      <c r="H93" s="7"/>
      <c r="I93" s="7"/>
      <c r="J93" s="7"/>
      <c r="K93" s="7"/>
      <c r="L93" s="7"/>
      <c r="M93" s="7"/>
      <c r="N93" s="7"/>
      <c r="O93" s="55"/>
      <c r="P93" s="63">
        <f>MROUND(($H$2*0.24),$H$4)</f>
        <v>14.5</v>
      </c>
      <c r="Q93" s="73"/>
      <c r="R93" s="73"/>
      <c r="S93" s="39"/>
      <c r="T93" s="40"/>
    </row>
    <row r="94" spans="2:25" x14ac:dyDescent="0.25">
      <c r="C94" s="7"/>
      <c r="D94" s="66" t="s">
        <v>34</v>
      </c>
      <c r="E94" s="66" t="s">
        <v>45</v>
      </c>
      <c r="F94" s="66" t="s">
        <v>35</v>
      </c>
      <c r="G94" s="66" t="s">
        <v>36</v>
      </c>
      <c r="H94" s="66" t="s">
        <v>37</v>
      </c>
      <c r="I94" s="66" t="s">
        <v>38</v>
      </c>
      <c r="J94" s="66" t="s">
        <v>39</v>
      </c>
      <c r="K94" s="66" t="s">
        <v>40</v>
      </c>
      <c r="L94" s="66" t="s">
        <v>41</v>
      </c>
      <c r="M94" s="7"/>
      <c r="N94" s="7"/>
      <c r="O94" s="55"/>
      <c r="P94" s="63">
        <f>MROUND(($H$2*0.4),$H$4)</f>
        <v>24</v>
      </c>
      <c r="Q94" s="73"/>
      <c r="R94" s="73"/>
      <c r="S94" s="39"/>
      <c r="T94" s="40"/>
    </row>
    <row r="95" spans="2:25" ht="15" customHeight="1" x14ac:dyDescent="0.25">
      <c r="B95" s="88">
        <v>9</v>
      </c>
      <c r="C95" s="26" t="s">
        <v>24</v>
      </c>
      <c r="D95" s="27">
        <f>$H$3</f>
        <v>1</v>
      </c>
      <c r="E95" s="27">
        <f>$H$3+D95</f>
        <v>2</v>
      </c>
      <c r="F95" s="35">
        <f>MROUND(($H$2*0.48),$H$4)</f>
        <v>29</v>
      </c>
      <c r="G95" s="35">
        <f>MROUND(($H$2*0.55),$H$4)</f>
        <v>33</v>
      </c>
      <c r="H95" s="35">
        <f>MROUND(($H$2*0.46),$H$4)</f>
        <v>27.5</v>
      </c>
      <c r="I95" s="35">
        <f>MROUND(($H$2*0.39),$H$4)</f>
        <v>23.5</v>
      </c>
      <c r="J95" s="35">
        <f>MROUND(($H$2*0.34),$H$4)</f>
        <v>20.5</v>
      </c>
      <c r="K95" s="35">
        <f>MROUND(($H$2*0.32),$H$4)</f>
        <v>19</v>
      </c>
      <c r="L95" s="35">
        <f>MROUND(($H$2*0.27),$H$4)</f>
        <v>16</v>
      </c>
      <c r="M95" s="7"/>
      <c r="N95" s="7"/>
      <c r="O95" s="55"/>
      <c r="P95" s="63">
        <f>MROUND(($H$2*0.54),$H$4)</f>
        <v>32.5</v>
      </c>
      <c r="Q95" s="73"/>
      <c r="R95" s="73"/>
      <c r="S95" s="39"/>
      <c r="T95" s="40"/>
    </row>
    <row r="96" spans="2:25" ht="15" customHeight="1" x14ac:dyDescent="0.25">
      <c r="B96" s="88"/>
      <c r="C96" s="26" t="s">
        <v>25</v>
      </c>
      <c r="D96" s="27">
        <f>D95*2</f>
        <v>2</v>
      </c>
      <c r="E96" s="27">
        <f>$H$3+D95+D96</f>
        <v>4</v>
      </c>
      <c r="F96" s="36"/>
      <c r="G96" s="36">
        <f>MROUND(($H$2*0.87),$H$4)-G95</f>
        <v>19</v>
      </c>
      <c r="H96" s="36">
        <f>MROUND(($H$2*0.74),$H$4)-H95</f>
        <v>17</v>
      </c>
      <c r="I96" s="36">
        <f>MROUND(($H$2*0.67),$H$4)-I95</f>
        <v>16.5</v>
      </c>
      <c r="J96" s="36">
        <f>MROUND(($H$2*0.6),$H$4)-J95</f>
        <v>15.5</v>
      </c>
      <c r="K96" s="36">
        <f>MROUND(($H$2*0.53),$H$4)-K95</f>
        <v>13</v>
      </c>
      <c r="L96" s="36">
        <f>MROUND(($H$2*0.47),$H$4)-L95</f>
        <v>12</v>
      </c>
      <c r="M96" s="7"/>
      <c r="N96" s="7"/>
      <c r="O96" s="55"/>
      <c r="P96" s="63">
        <f>MROUND(($H$2*0.65),$H$4)</f>
        <v>39</v>
      </c>
      <c r="Q96" s="73"/>
      <c r="R96" s="73"/>
      <c r="S96" s="39"/>
      <c r="T96" s="40"/>
    </row>
    <row r="97" spans="2:20" ht="15" customHeight="1" x14ac:dyDescent="0.25">
      <c r="B97" s="88"/>
      <c r="C97" s="26" t="s">
        <v>26</v>
      </c>
      <c r="D97" s="27">
        <f>D96*2</f>
        <v>4</v>
      </c>
      <c r="E97" s="27">
        <f>$H$3+D96+D97+D95</f>
        <v>8</v>
      </c>
      <c r="F97" s="35"/>
      <c r="G97" s="35"/>
      <c r="H97" s="35">
        <f>MROUND(($H$2*0.92),$H$4)-(H95+H96)</f>
        <v>10.5</v>
      </c>
      <c r="I97" s="35">
        <f>MROUND(($H$2*0.83),$H$4)-(I95+I96)</f>
        <v>10</v>
      </c>
      <c r="J97" s="35">
        <f>MROUND(($H$2*0.77),$H$4)-(J95+J96)</f>
        <v>10</v>
      </c>
      <c r="K97" s="35">
        <f>MROUND(($H$2*0.77),$H$4)-(K95+K96)</f>
        <v>14</v>
      </c>
      <c r="L97" s="35">
        <f>MROUND(($H$2*0.66),$H$4)-(L95+L96)</f>
        <v>11.5</v>
      </c>
      <c r="M97" s="7"/>
      <c r="N97" s="7"/>
      <c r="O97" s="55"/>
      <c r="P97" s="63">
        <f>MROUND(($H$2*0.74),$H$4)</f>
        <v>44.5</v>
      </c>
      <c r="Q97" s="73"/>
      <c r="R97" s="73"/>
      <c r="S97" s="39"/>
      <c r="T97" s="40"/>
    </row>
    <row r="98" spans="2:20" ht="15" customHeight="1" x14ac:dyDescent="0.25">
      <c r="B98" s="88"/>
      <c r="C98" s="26" t="s">
        <v>27</v>
      </c>
      <c r="D98" s="27">
        <f>D97*2</f>
        <v>8</v>
      </c>
      <c r="E98" s="27">
        <f>$H$3+D97+D98+D96+D95</f>
        <v>16</v>
      </c>
      <c r="F98" s="36"/>
      <c r="G98" s="36"/>
      <c r="H98" s="36"/>
      <c r="I98" s="36">
        <f>MROUND(($H$2*0.93),$H$4)-(I95+I96+I97)</f>
        <v>6</v>
      </c>
      <c r="J98" s="36">
        <f>MROUND(($H$2*0.89),$H$4)-(J95+J96+J97)</f>
        <v>7.5</v>
      </c>
      <c r="K98" s="36">
        <f>MROUND(($H$2*0.83),$H$4)-(K95+K96+K97)</f>
        <v>4</v>
      </c>
      <c r="L98" s="36">
        <f>MROUND(($H$2*0.76),$H$4)-(L95+L96+L97)</f>
        <v>6</v>
      </c>
      <c r="M98" s="7"/>
      <c r="N98" s="7"/>
      <c r="O98" s="55"/>
      <c r="P98" s="63">
        <f>MROUND(($H$2*0.82),$H$4)</f>
        <v>49</v>
      </c>
      <c r="Q98" s="73"/>
      <c r="R98" s="73"/>
      <c r="S98" s="39"/>
      <c r="T98" s="40"/>
    </row>
    <row r="99" spans="2:20" ht="15" customHeight="1" x14ac:dyDescent="0.25">
      <c r="B99" s="88"/>
      <c r="C99" s="26" t="s">
        <v>28</v>
      </c>
      <c r="D99" s="27">
        <f t="shared" ref="D99:D101" si="14">D98*2</f>
        <v>16</v>
      </c>
      <c r="E99" s="27">
        <f>$H$3+D98+D99+D97+D96+D95</f>
        <v>32</v>
      </c>
      <c r="F99" s="35"/>
      <c r="G99" s="35"/>
      <c r="H99" s="35"/>
      <c r="I99" s="35"/>
      <c r="J99" s="35">
        <f>MROUND(($H$2*0.95),$H$4)-(J95+J96+J97+J98)</f>
        <v>3.5</v>
      </c>
      <c r="K99" s="35">
        <f>MROUND(($H$2*0.91),$H$4)-(K95+K96+K97+K98)</f>
        <v>4.5</v>
      </c>
      <c r="L99" s="35">
        <f>MROUND(($H$2*0.86),$H$4)-(L95+L96+L97+L98)</f>
        <v>6</v>
      </c>
      <c r="M99" s="7"/>
      <c r="N99" s="7"/>
      <c r="O99" s="55"/>
      <c r="P99" s="63">
        <f>MROUND(($H$2*0.87),$H$4)</f>
        <v>52</v>
      </c>
      <c r="Q99" s="73"/>
      <c r="R99" s="73"/>
      <c r="S99" s="39"/>
      <c r="T99" s="40"/>
    </row>
    <row r="100" spans="2:20" ht="15" customHeight="1" x14ac:dyDescent="0.25">
      <c r="B100" s="88"/>
      <c r="C100" s="26" t="s">
        <v>29</v>
      </c>
      <c r="D100" s="27">
        <f t="shared" si="14"/>
        <v>32</v>
      </c>
      <c r="E100" s="27">
        <f>$H$3+D99+D100+D98+D97+D96+D95</f>
        <v>64</v>
      </c>
      <c r="F100" s="36"/>
      <c r="G100" s="36"/>
      <c r="H100" s="36"/>
      <c r="I100" s="36"/>
      <c r="J100" s="36"/>
      <c r="K100" s="36">
        <f>MROUND(($H$2*0.96),$H$4)-(K95+K96+K97+K98+K99)</f>
        <v>3</v>
      </c>
      <c r="L100" s="36">
        <f>MROUND(($H$2*0.92),$H$4)-(L95+L96+L97+L98+L99)</f>
        <v>3.5</v>
      </c>
      <c r="M100" s="7"/>
      <c r="N100" s="7"/>
      <c r="O100" s="55"/>
      <c r="P100" s="63">
        <f>MROUND(($H$2*0.92),$H$4)</f>
        <v>55</v>
      </c>
      <c r="Q100" s="73"/>
      <c r="R100" s="73"/>
      <c r="S100" s="39"/>
      <c r="T100" s="40"/>
    </row>
    <row r="101" spans="2:20" ht="15" customHeight="1" x14ac:dyDescent="0.25">
      <c r="B101" s="88"/>
      <c r="C101" s="26" t="s">
        <v>30</v>
      </c>
      <c r="D101" s="27">
        <f t="shared" si="14"/>
        <v>64</v>
      </c>
      <c r="E101" s="27">
        <f>$H$3+D100+D101+D99+D98+D97+D96+D95</f>
        <v>128</v>
      </c>
      <c r="F101" s="35"/>
      <c r="G101" s="35"/>
      <c r="H101" s="35"/>
      <c r="I101" s="35"/>
      <c r="J101" s="35"/>
      <c r="K101" s="35"/>
      <c r="L101" s="35">
        <f>MROUND(($H$2*0.97),$H$4)-(L96+L97+L98+L99+L100+L95)</f>
        <v>3</v>
      </c>
      <c r="M101" s="7"/>
      <c r="N101" s="7"/>
      <c r="O101" s="55"/>
      <c r="P101" s="63">
        <f>MROUND(($H$2*0.96),$H$4)</f>
        <v>57.5</v>
      </c>
      <c r="Q101" s="73"/>
      <c r="R101" s="73"/>
      <c r="S101" s="39"/>
      <c r="T101" s="40"/>
    </row>
    <row r="102" spans="2:20" x14ac:dyDescent="0.25">
      <c r="C102" s="7"/>
      <c r="D102" s="7"/>
      <c r="E102" s="29" t="s">
        <v>22</v>
      </c>
      <c r="F102" s="28">
        <f>(($H$2*D95)*$H$3*$F$4)+(($H$2-F95)*D95*$F$4)</f>
        <v>910</v>
      </c>
      <c r="G102" s="28">
        <f>(($H$2*$H$3)*D95*$F$4)+(($H$2-G95)*D95*$F$4)+(($H$2-(G95+G96))*D96*$F$4)</f>
        <v>1030</v>
      </c>
      <c r="H102" s="28">
        <f>(($H$2*$H$3)*D95*$F$4)+(($H$2-H95)*D95*$F$4)+(($H$2-(H95+H96))*D96*$F$4)+(($H$2-(H95+H96+H97))*D97*$F$4)</f>
        <v>1435</v>
      </c>
      <c r="I102" s="28">
        <f>(($H$2*$H$3)*D95*$F$4)+(($H$2-I95)*D95*$F$4)+(($H$2-(I95+I96))*D96*$F$4)+(($H$2-(I95+I96+I97))*D97*$F$4)+(($H$2-(I95+I96+I97+I98))*D98*$F$4)</f>
        <v>2085</v>
      </c>
      <c r="J102" s="28">
        <f>(($H$2*$H$3)*D95*$F$4)+(($H$2-J95)*D95*$F$4)+(($H$2-(J95+J96))*D96*$F$4)+(($H$2-(J95+J96+J97))*D97*$F$4)+(($H$2-(J95+J96+J97+J98))*D98*$F$4)+(($H$2-(J95+J96+J97+J98+J99))*D99*$F$4)</f>
        <v>3035</v>
      </c>
      <c r="K102" s="28">
        <f>(($H$2*$H$3)*D95*$F$4)+(($H$2-K95)*D95*$F$4)+(($H$2-(K95+K96))*D96*$F$4)+(($H$2-(K95+K96+K97))*D97*$F$4)+(($H$2-(K95+K96+K97+K98))*D98*$F$4)+(($H$2-(K95+K96+K97+K98+K99))*D99*$F$4)+(($H$2-(K95+K96+K97+K98+K99+K100))*D100*$F$4)</f>
        <v>4610</v>
      </c>
      <c r="L102" s="28">
        <f>(($H$2*$H$3)*D95*$F$4)+(($H$2-L95)*D95*$F$4)+(($H$2-(L95+L96))*D96*$F$4)+(($H$2-(L95+L96+L97))*D97*$F$4)+(($H$2-(L95+L96+L97+L98))*D98*$F$4)+(($H$2-(L95+L96+L97+L98+L99))*D99*$F$4)+(($H$2-(L95+L96+L97+L98+L99+L100))*D100*$F$4)+(($H$2-(L95+L96+L97+L98+L99+L100+L101))*D101*$F$4)</f>
        <v>7900</v>
      </c>
      <c r="M102" s="7"/>
      <c r="N102" s="7"/>
      <c r="O102" s="55"/>
      <c r="P102" s="63">
        <f>MROUND(($H$2*0.98),$H$4)</f>
        <v>59</v>
      </c>
      <c r="Q102" s="73"/>
      <c r="R102" s="73"/>
      <c r="S102" s="39"/>
      <c r="T102" s="40"/>
    </row>
    <row r="103" spans="2:20" x14ac:dyDescent="0.25">
      <c r="C103" s="7"/>
      <c r="D103" s="7"/>
      <c r="E103" s="7"/>
      <c r="F103" s="7"/>
      <c r="G103" s="7"/>
      <c r="H103" s="7"/>
      <c r="I103" s="7"/>
      <c r="J103" s="7"/>
      <c r="K103" s="7"/>
      <c r="L103" s="7"/>
      <c r="M103" s="7"/>
      <c r="N103" s="7"/>
      <c r="O103" s="55"/>
      <c r="P103" s="67">
        <v>0</v>
      </c>
      <c r="Q103" s="73"/>
      <c r="R103" s="73"/>
      <c r="S103" s="39"/>
      <c r="T103" s="40"/>
    </row>
    <row r="104" spans="2:20" x14ac:dyDescent="0.25">
      <c r="C104" s="7"/>
      <c r="D104" s="90" t="s">
        <v>49</v>
      </c>
      <c r="E104" s="91"/>
      <c r="F104" s="92"/>
      <c r="G104" s="7"/>
      <c r="H104" s="7"/>
      <c r="I104" s="7"/>
      <c r="J104" s="7"/>
      <c r="K104" s="7"/>
      <c r="L104" s="7"/>
      <c r="M104" s="7"/>
      <c r="N104" s="7"/>
      <c r="O104" s="44"/>
      <c r="P104" s="63">
        <f>MROUND(($H$2*0.17),$H$4)</f>
        <v>10</v>
      </c>
      <c r="Q104" s="67"/>
      <c r="R104" s="67"/>
      <c r="S104" s="74"/>
      <c r="T104" s="40"/>
    </row>
    <row r="105" spans="2:20" x14ac:dyDescent="0.25">
      <c r="C105" s="7"/>
      <c r="D105" s="66" t="s">
        <v>34</v>
      </c>
      <c r="E105" s="66" t="s">
        <v>45</v>
      </c>
      <c r="F105" s="66" t="s">
        <v>35</v>
      </c>
      <c r="G105" s="66" t="s">
        <v>36</v>
      </c>
      <c r="H105" s="66" t="s">
        <v>37</v>
      </c>
      <c r="I105" s="66" t="s">
        <v>38</v>
      </c>
      <c r="J105" s="66" t="s">
        <v>39</v>
      </c>
      <c r="K105" s="66" t="s">
        <v>40</v>
      </c>
      <c r="L105" s="66" t="s">
        <v>41</v>
      </c>
      <c r="M105" s="7"/>
      <c r="N105" s="7"/>
      <c r="O105" s="44"/>
      <c r="P105" s="63">
        <f>MROUND(($H$2*0.33),$H$4)</f>
        <v>20</v>
      </c>
      <c r="Q105" s="67"/>
      <c r="R105" s="67"/>
      <c r="S105" s="74"/>
      <c r="T105" s="40"/>
    </row>
    <row r="106" spans="2:20" ht="15" customHeight="1" x14ac:dyDescent="0.25">
      <c r="B106" s="89">
        <v>10</v>
      </c>
      <c r="C106" s="26" t="s">
        <v>24</v>
      </c>
      <c r="D106" s="27">
        <f>$H$3</f>
        <v>1</v>
      </c>
      <c r="E106" s="27">
        <f>$H$3+D106</f>
        <v>2</v>
      </c>
      <c r="F106" s="35">
        <f>MROUND(($H$2*0.7),$H$4)</f>
        <v>42</v>
      </c>
      <c r="G106" s="35">
        <f>MROUND(($H$2*0.5),$H$4)</f>
        <v>30</v>
      </c>
      <c r="H106" s="35">
        <f>MROUND(($H$2*0.39),$H$4)</f>
        <v>23.5</v>
      </c>
      <c r="I106" s="35">
        <f>MROUND(($H$2*0.33),$H$4)</f>
        <v>20</v>
      </c>
      <c r="J106" s="35">
        <f>MROUND(($H$2*0.27),$H$4)</f>
        <v>16</v>
      </c>
      <c r="K106" s="35">
        <f>MROUND(($H$2*0.23),$H$4)</f>
        <v>14</v>
      </c>
      <c r="L106" s="35">
        <f>MROUND(($H$2*0.2),$H$4)</f>
        <v>12</v>
      </c>
      <c r="M106" s="7"/>
      <c r="N106" s="7"/>
      <c r="O106" s="44"/>
      <c r="P106" s="63">
        <f>MROUND(($H$2*0.48),$H$4)</f>
        <v>29</v>
      </c>
      <c r="Q106" s="67"/>
      <c r="R106" s="67"/>
      <c r="S106" s="74"/>
      <c r="T106" s="40"/>
    </row>
    <row r="107" spans="2:20" ht="15" customHeight="1" x14ac:dyDescent="0.25">
      <c r="B107" s="89"/>
      <c r="C107" s="26" t="s">
        <v>25</v>
      </c>
      <c r="D107" s="27">
        <f>D106*2</f>
        <v>2</v>
      </c>
      <c r="E107" s="27">
        <f>$H$3+D106+D107</f>
        <v>4</v>
      </c>
      <c r="F107" s="36"/>
      <c r="G107" s="36">
        <f>MROUND(($H$2*0.8),$H$4)-G106</f>
        <v>18</v>
      </c>
      <c r="H107" s="36">
        <f>MROUND(($H$2*0.76),$H$4)-H106</f>
        <v>22</v>
      </c>
      <c r="I107" s="36">
        <f>MROUND(($H$2*0.62),$H$4)-I106</f>
        <v>17</v>
      </c>
      <c r="J107" s="36">
        <f>MROUND(($H$2*0.53),$H$4)-J106</f>
        <v>16</v>
      </c>
      <c r="K107" s="36">
        <f>MROUND(($H$2*0.47),$H$4)-K106</f>
        <v>14</v>
      </c>
      <c r="L107" s="36">
        <f>MROUND(($H$2*0.42),$H$4)-L106</f>
        <v>13</v>
      </c>
      <c r="M107" s="7"/>
      <c r="N107" s="7"/>
      <c r="O107" s="44"/>
      <c r="P107" s="63">
        <f>MROUND(($H$2*0.61),$H$4)</f>
        <v>36.5</v>
      </c>
      <c r="Q107" s="67"/>
      <c r="R107" s="67"/>
      <c r="S107" s="74"/>
      <c r="T107" s="40"/>
    </row>
    <row r="108" spans="2:20" ht="15" customHeight="1" x14ac:dyDescent="0.25">
      <c r="B108" s="89"/>
      <c r="C108" s="26" t="s">
        <v>26</v>
      </c>
      <c r="D108" s="27">
        <f>D107*2</f>
        <v>4</v>
      </c>
      <c r="E108" s="27">
        <f>$H$3+D107+D108+D106</f>
        <v>8</v>
      </c>
      <c r="F108" s="35"/>
      <c r="G108" s="35"/>
      <c r="H108" s="35">
        <f>MROUND(($H$2*0.86),$H$4)-(H106+H107)</f>
        <v>6</v>
      </c>
      <c r="I108" s="35">
        <f>MROUND(($H$2*0.78),$H$4)-(I106+I107)</f>
        <v>10</v>
      </c>
      <c r="J108" s="35">
        <f>MROUND(($H$2*0.7),$H$4)-(J106+J107)</f>
        <v>10</v>
      </c>
      <c r="K108" s="35">
        <f>MROUND(($H$2*0.66),$H$4)-(K106+K107)</f>
        <v>11.5</v>
      </c>
      <c r="L108" s="35">
        <f>MROUND(($H$2*0.6),$H$4)-(L106+L107)</f>
        <v>11</v>
      </c>
      <c r="M108" s="7"/>
      <c r="N108" s="7"/>
      <c r="O108" s="44"/>
      <c r="P108" s="63">
        <f>MROUND(($H$2*0.69),$H$4)</f>
        <v>41.5</v>
      </c>
      <c r="Q108" s="67"/>
      <c r="R108" s="67"/>
      <c r="S108" s="74"/>
      <c r="T108" s="40"/>
    </row>
    <row r="109" spans="2:20" ht="15" customHeight="1" x14ac:dyDescent="0.25">
      <c r="B109" s="89"/>
      <c r="C109" s="26" t="s">
        <v>27</v>
      </c>
      <c r="D109" s="27">
        <f>D108*2</f>
        <v>8</v>
      </c>
      <c r="E109" s="27">
        <f>$H$3+D108+D109+D107+D106</f>
        <v>16</v>
      </c>
      <c r="F109" s="36"/>
      <c r="G109" s="36"/>
      <c r="H109" s="36"/>
      <c r="I109" s="36">
        <f>MROUND(($H$2*0.9),$H$4)-(I106+I107+I108)</f>
        <v>7</v>
      </c>
      <c r="J109" s="36">
        <f>MROUND(($H$2*0.81),$H$4)-(J106+J107+J108)</f>
        <v>6.5</v>
      </c>
      <c r="K109" s="36">
        <f>MROUND(($H$2*0.77),$H$4)-(K106+K107+K108)</f>
        <v>6.5</v>
      </c>
      <c r="L109" s="36">
        <f>MROUND(($H$2*0.72),$H$4)-(L106+L107+L108)</f>
        <v>7</v>
      </c>
      <c r="M109" s="7"/>
      <c r="N109" s="7"/>
      <c r="O109" s="44"/>
      <c r="P109" s="63">
        <f>MROUND(($H$2*0.76),$H$4)</f>
        <v>45.5</v>
      </c>
      <c r="Q109" s="67"/>
      <c r="R109" s="67"/>
      <c r="S109" s="74"/>
      <c r="T109" s="40"/>
    </row>
    <row r="110" spans="2:20" ht="15" customHeight="1" x14ac:dyDescent="0.25">
      <c r="B110" s="89"/>
      <c r="C110" s="26" t="s">
        <v>28</v>
      </c>
      <c r="D110" s="27">
        <f t="shared" ref="D110:D112" si="15">D109*2</f>
        <v>16</v>
      </c>
      <c r="E110" s="27">
        <f>$H$3+D109+D110+D108+D107+D106</f>
        <v>32</v>
      </c>
      <c r="F110" s="35"/>
      <c r="G110" s="35"/>
      <c r="H110" s="35"/>
      <c r="I110" s="35"/>
      <c r="J110" s="35">
        <f>MROUND(($H$2*0.91),$H$4)-(J106+J107+J108+J109)</f>
        <v>6</v>
      </c>
      <c r="K110" s="35">
        <f>MROUND(($H$2*0.86),$H$4)-(K106+K107+K108+K109)</f>
        <v>5.5</v>
      </c>
      <c r="L110" s="35">
        <f>MROUND(($H$2*0.8),$H$4)-(L106+L107+L108+L109)</f>
        <v>5</v>
      </c>
      <c r="M110" s="7"/>
      <c r="N110" s="7"/>
      <c r="O110" s="44"/>
      <c r="P110" s="63">
        <f>MROUND(($H$2*0.82),$H$4)</f>
        <v>49</v>
      </c>
      <c r="Q110" s="67"/>
      <c r="R110" s="67"/>
      <c r="S110" s="74"/>
      <c r="T110" s="40"/>
    </row>
    <row r="111" spans="2:20" ht="15" customHeight="1" x14ac:dyDescent="0.25">
      <c r="B111" s="89"/>
      <c r="C111" s="26" t="s">
        <v>29</v>
      </c>
      <c r="D111" s="27">
        <f t="shared" si="15"/>
        <v>32</v>
      </c>
      <c r="E111" s="27">
        <f>$H$3+D110+D111+D109+D108+D107+D106</f>
        <v>64</v>
      </c>
      <c r="F111" s="36"/>
      <c r="G111" s="36"/>
      <c r="H111" s="36"/>
      <c r="I111" s="36"/>
      <c r="J111" s="36"/>
      <c r="K111" s="36">
        <f>MROUND(($H$2*0.93),$H$4)-(K106+K107+K108+K109+K110)</f>
        <v>4.5</v>
      </c>
      <c r="L111" s="36">
        <f>MROUND(($H$2*0.88),$H$4)-(L106+L107+L108+L109+L110)</f>
        <v>5</v>
      </c>
      <c r="M111" s="7"/>
      <c r="N111" s="7"/>
      <c r="O111" s="44"/>
      <c r="P111" s="63">
        <f>MROUND(($H$2*0.87),$H$4)</f>
        <v>52</v>
      </c>
      <c r="Q111" s="67"/>
      <c r="R111" s="67"/>
      <c r="S111" s="74"/>
      <c r="T111" s="40"/>
    </row>
    <row r="112" spans="2:20" ht="15" customHeight="1" x14ac:dyDescent="0.25">
      <c r="B112" s="89"/>
      <c r="C112" s="26" t="s">
        <v>30</v>
      </c>
      <c r="D112" s="27">
        <f t="shared" si="15"/>
        <v>64</v>
      </c>
      <c r="E112" s="27">
        <f>$H$3+D111+D112+D110+D109+D108+D107+D106</f>
        <v>128</v>
      </c>
      <c r="F112" s="35"/>
      <c r="G112" s="35"/>
      <c r="H112" s="35"/>
      <c r="I112" s="35"/>
      <c r="J112" s="35"/>
      <c r="K112" s="35"/>
      <c r="L112" s="35">
        <f>MROUND(($H$2*0.95),$H$4)-(L107+L108+L109+L110+L111+L106)</f>
        <v>4</v>
      </c>
      <c r="M112" s="7"/>
      <c r="N112" s="7"/>
      <c r="O112" s="44"/>
      <c r="P112" s="63">
        <f>MROUND(($H$2*0.93),$H$4)</f>
        <v>56</v>
      </c>
      <c r="Q112" s="67"/>
      <c r="R112" s="67"/>
      <c r="S112" s="74"/>
      <c r="T112" s="40"/>
    </row>
    <row r="113" spans="2:20" x14ac:dyDescent="0.25">
      <c r="C113" s="7"/>
      <c r="D113" s="7"/>
      <c r="E113" s="29" t="s">
        <v>22</v>
      </c>
      <c r="F113" s="28">
        <f>(($H$2*D106)*$H$3*$F$4)+(($H$2-F106)*D106*$F$4)</f>
        <v>780</v>
      </c>
      <c r="G113" s="28">
        <f>(($H$2*$H$3)*D106*$F$4)+(($H$2-G106)*D106*$F$4)+(($H$2-(G106+G107))*D107*$F$4)</f>
        <v>1140</v>
      </c>
      <c r="H113" s="28">
        <f>(($H$2*$H$3)*D106*$F$4)+(($H$2-H106)*D106*$F$4)+(($H$2-(H106+H107))*D107*$F$4)+(($H$2-(H106+H107+H108))*D108*$F$4)</f>
        <v>1595</v>
      </c>
      <c r="I113" s="28">
        <f>(($H$2*$H$3)*D106*$F$4)+(($H$2-I106)*D106*$F$4)+(($H$2-(I106+I107))*D107*$F$4)+(($H$2-(I106+I107+I108))*D108*$F$4)+(($H$2-(I106+I107+I108+I109))*D109*$F$4)</f>
        <v>2460</v>
      </c>
      <c r="J113" s="28">
        <f>(($H$2*$H$3)*D106*$F$4)+(($H$2-J106)*D106*$F$4)+(($H$2-(J106+J107))*D107*$F$4)+(($H$2-(J106+J107+J108))*D108*$F$4)+(($H$2-(J106+J107+J108+J109))*D109*$F$4)+(($H$2-(J106+J107+J108+J109+J110))*D110*$F$4)</f>
        <v>4120</v>
      </c>
      <c r="K113" s="28">
        <f>(($H$2*$H$3)*D106*$F$4)+(($H$2-K106)*D106*$F$4)+(($H$2-(K106+K107))*D107*$F$4)+(($H$2-(K106+K107+K108))*D108*$F$4)+(($H$2-(K106+K107+K108+K109))*D109*$F$4)+(($H$2-(K106+K107+K108+K109+K110))*D110*$F$4)+(($H$2-(K106+K107+K108+K109+K110+K111))*D111*$F$4)</f>
        <v>6280</v>
      </c>
      <c r="L113" s="28">
        <f>(($H$2*$H$3)*D106*$F$4)+(($H$2-L106)*D106*$F$4)+(($H$2-(L106+L107))*D107*$F$4)+(($H$2-(L106+L107+L108))*D108*$F$4)+(($H$2-(L106+L107+L108+L109))*D109*$F$4)+(($H$2-(L106+L107+L108+L109+L110))*D110*$F$4)+(($H$2-(L106+L107+L108+L109+L110+L111))*D111*$F$4)+(($H$2-(L106+L107+L108+L109+L110+L111+L112))*D112*$F$4)</f>
        <v>10180</v>
      </c>
      <c r="M113" s="7"/>
      <c r="N113" s="7"/>
      <c r="O113" s="44"/>
      <c r="P113" s="63">
        <f>MROUND(($H$2*0.98),$H$4)</f>
        <v>59</v>
      </c>
      <c r="Q113" s="67"/>
      <c r="R113" s="67"/>
      <c r="S113" s="74"/>
      <c r="T113" s="40"/>
    </row>
    <row r="114" spans="2:20" x14ac:dyDescent="0.25">
      <c r="C114" s="7"/>
      <c r="D114" s="7"/>
      <c r="E114" s="7"/>
      <c r="F114" s="7"/>
      <c r="G114" s="7"/>
      <c r="H114" s="7"/>
      <c r="I114" s="7"/>
      <c r="J114" s="7"/>
      <c r="K114" s="7"/>
      <c r="L114" s="7"/>
      <c r="M114" s="7"/>
      <c r="N114" s="7"/>
      <c r="O114" s="44"/>
      <c r="P114" s="44"/>
      <c r="Q114" s="67"/>
      <c r="R114" s="67"/>
      <c r="S114" s="74"/>
      <c r="T114" s="40"/>
    </row>
    <row r="115" spans="2:20" x14ac:dyDescent="0.25">
      <c r="C115" s="7"/>
      <c r="D115" s="90" t="s">
        <v>52</v>
      </c>
      <c r="E115" s="91"/>
      <c r="F115" s="92"/>
      <c r="G115" s="7"/>
      <c r="H115" s="7"/>
      <c r="I115" s="7"/>
      <c r="J115" s="7"/>
      <c r="K115" s="7"/>
      <c r="L115" s="7"/>
      <c r="M115" s="7"/>
      <c r="N115" s="7"/>
      <c r="P115" s="44"/>
      <c r="S115" s="39"/>
      <c r="T115" s="40"/>
    </row>
    <row r="116" spans="2:20" x14ac:dyDescent="0.25">
      <c r="C116" s="7"/>
      <c r="D116" s="66" t="s">
        <v>34</v>
      </c>
      <c r="E116" s="66" t="s">
        <v>45</v>
      </c>
      <c r="F116" s="66" t="s">
        <v>35</v>
      </c>
      <c r="G116" s="66" t="s">
        <v>36</v>
      </c>
      <c r="H116" s="66" t="s">
        <v>37</v>
      </c>
      <c r="I116" s="66" t="s">
        <v>38</v>
      </c>
      <c r="J116" s="66" t="s">
        <v>39</v>
      </c>
      <c r="K116" s="66" t="s">
        <v>40</v>
      </c>
      <c r="L116" s="66" t="s">
        <v>41</v>
      </c>
      <c r="M116" s="66" t="s">
        <v>42</v>
      </c>
      <c r="N116" s="66" t="s">
        <v>43</v>
      </c>
      <c r="O116" s="66" t="s">
        <v>44</v>
      </c>
      <c r="P116" s="44">
        <v>0</v>
      </c>
      <c r="S116" s="39"/>
      <c r="T116" s="40"/>
    </row>
    <row r="117" spans="2:20" x14ac:dyDescent="0.25">
      <c r="B117" s="89">
        <v>11</v>
      </c>
      <c r="C117" s="26" t="s">
        <v>24</v>
      </c>
      <c r="D117" s="27">
        <f>$H$3</f>
        <v>1</v>
      </c>
      <c r="E117" s="27">
        <f>$H$3+D117</f>
        <v>2</v>
      </c>
      <c r="F117" s="35">
        <f>MROUND(($H$2*0.5),$H$4)</f>
        <v>30</v>
      </c>
      <c r="G117" s="35">
        <f>MROUND(($H$2*0.333),$H$4)</f>
        <v>20</v>
      </c>
      <c r="H117" s="35">
        <f>MROUND(($H$2*0.25),$H$4)</f>
        <v>15</v>
      </c>
      <c r="I117" s="35">
        <f>MROUND(($H$2*0.2),$H$4)</f>
        <v>12</v>
      </c>
      <c r="J117" s="35">
        <f>MROUND(($H$2*0.166),$H$4)</f>
        <v>10</v>
      </c>
      <c r="K117" s="35">
        <f>MROUND(($H$2*0.142),$H$4)</f>
        <v>8.5</v>
      </c>
      <c r="L117" s="35">
        <f>MROUND(($H$2*0.125),$H$4)</f>
        <v>7.5</v>
      </c>
      <c r="M117" s="35">
        <f>MROUND(($H$2*0.111),$H$4)</f>
        <v>6.5</v>
      </c>
      <c r="N117" s="35">
        <f>MROUND(($H$2*0.1),$H$4)</f>
        <v>6</v>
      </c>
      <c r="O117" s="35">
        <f>MROUND(($H$2*0.09),$H$4)</f>
        <v>5.5</v>
      </c>
      <c r="P117" s="45">
        <f>O117</f>
        <v>5.5</v>
      </c>
      <c r="S117" s="39"/>
      <c r="T117" s="40"/>
    </row>
    <row r="118" spans="2:20" x14ac:dyDescent="0.25">
      <c r="B118" s="89"/>
      <c r="C118" s="26" t="s">
        <v>25</v>
      </c>
      <c r="D118" s="27">
        <f>D117</f>
        <v>1</v>
      </c>
      <c r="E118" s="27">
        <f>$H$3+D117+D118</f>
        <v>3</v>
      </c>
      <c r="F118" s="36"/>
      <c r="G118" s="36">
        <f>MROUND(($H$2*0.666),$H$4)-G117</f>
        <v>20</v>
      </c>
      <c r="H118" s="36">
        <f>MROUND(($H$2*0.5),$H$4)-H117</f>
        <v>15</v>
      </c>
      <c r="I118" s="36">
        <f>MROUND(($H$2*0.4),$H$4)-I117</f>
        <v>12</v>
      </c>
      <c r="J118" s="36">
        <f>MROUND(($H$2*0.333),$H$4)-J117</f>
        <v>10</v>
      </c>
      <c r="K118" s="36">
        <f>MROUND(($H$2*0.285),$H$4)-K117</f>
        <v>8.5</v>
      </c>
      <c r="L118" s="36">
        <f>MROUND(($H$2*0.25),$H$4)-L117</f>
        <v>7.5</v>
      </c>
      <c r="M118" s="36">
        <f>MROUND(($H$2*0.222),$H$4)-M117</f>
        <v>7</v>
      </c>
      <c r="N118" s="36">
        <f>MROUND(($H$2*0.2),$H$4)-N117</f>
        <v>6</v>
      </c>
      <c r="O118" s="36">
        <f>MROUND(($H$2*0.181),$H$4)-O117</f>
        <v>5.5</v>
      </c>
      <c r="P118" s="45">
        <f>P117+O118</f>
        <v>11</v>
      </c>
      <c r="S118" s="39"/>
      <c r="T118" s="40"/>
    </row>
    <row r="119" spans="2:20" x14ac:dyDescent="0.25">
      <c r="B119" s="89"/>
      <c r="C119" s="26" t="s">
        <v>26</v>
      </c>
      <c r="D119" s="27">
        <f>D118*2</f>
        <v>2</v>
      </c>
      <c r="E119" s="27">
        <f>$H$3+D118+D119+D117</f>
        <v>5</v>
      </c>
      <c r="F119" s="35"/>
      <c r="G119" s="35"/>
      <c r="H119" s="35">
        <f>MROUND(($H$2*0.75),$H$4)-(H117+H118)</f>
        <v>15</v>
      </c>
      <c r="I119" s="35">
        <f>MROUND(($H$2*0.6),$H$4)-(I117+I118)</f>
        <v>12</v>
      </c>
      <c r="J119" s="35">
        <f>MROUND(($H$2*0.5),$H$4)-(J117+J118)</f>
        <v>10</v>
      </c>
      <c r="K119" s="35">
        <f>MROUND(($H$2*0.428),$H$4)-(K117+K118)</f>
        <v>8.5</v>
      </c>
      <c r="L119" s="35">
        <f>MROUND(($H$2*0.375),$H$4)-(L117+L118)</f>
        <v>7.5</v>
      </c>
      <c r="M119" s="35">
        <f>MROUND(($H$2*0.333),$H$4)-(M117+M118)</f>
        <v>6.5</v>
      </c>
      <c r="N119" s="35">
        <f>MROUND(($H$2*0.3),$H$4)-(N117+N118)</f>
        <v>6</v>
      </c>
      <c r="O119" s="35">
        <f>MROUND(($H$2*0.272),$H$4)-(O117+O118)</f>
        <v>5.5</v>
      </c>
      <c r="P119" s="45">
        <f t="shared" ref="P119:P126" si="16">P118+O119</f>
        <v>16.5</v>
      </c>
      <c r="S119" s="39"/>
      <c r="T119" s="40"/>
    </row>
    <row r="120" spans="2:20" x14ac:dyDescent="0.25">
      <c r="B120" s="89"/>
      <c r="C120" s="26" t="s">
        <v>27</v>
      </c>
      <c r="D120" s="27">
        <f>D119</f>
        <v>2</v>
      </c>
      <c r="E120" s="27">
        <f>$H$3+D119+D120+D118+D117</f>
        <v>7</v>
      </c>
      <c r="F120" s="36"/>
      <c r="G120" s="36"/>
      <c r="H120" s="36"/>
      <c r="I120" s="36">
        <f>MROUND(($H$2*0.8),$H$4)-(I117+I118+I119)</f>
        <v>12</v>
      </c>
      <c r="J120" s="36">
        <f>MROUND(($H$2*0.666),$H$4)-(J117+J118+J119)</f>
        <v>10</v>
      </c>
      <c r="K120" s="36">
        <f>MROUND(($H$2*0.571),$H$4)-(K117+K118+K119)</f>
        <v>9</v>
      </c>
      <c r="L120" s="36">
        <f>MROUND(($H$2*0.5),$H$4)-(L117+L118+L119)</f>
        <v>7.5</v>
      </c>
      <c r="M120" s="36">
        <f>MROUND(($H$2*0.444),$H$4)-(M117+M118+M119)</f>
        <v>6.5</v>
      </c>
      <c r="N120" s="36">
        <f>MROUND(($H$2*0.4),$H$4)-(N117+N118+N119)</f>
        <v>6</v>
      </c>
      <c r="O120" s="36">
        <f>MROUND(($H$2*0.363),$H$4)-(O117+O118+O119)</f>
        <v>5.5</v>
      </c>
      <c r="P120" s="45">
        <f t="shared" si="16"/>
        <v>22</v>
      </c>
      <c r="S120" s="39"/>
      <c r="T120" s="40"/>
    </row>
    <row r="121" spans="2:20" x14ac:dyDescent="0.25">
      <c r="B121" s="89"/>
      <c r="C121" s="26" t="s">
        <v>28</v>
      </c>
      <c r="D121" s="27">
        <f t="shared" ref="D121:D123" si="17">D120*2</f>
        <v>4</v>
      </c>
      <c r="E121" s="27">
        <f>$H$3+D120+D121+D119+D118+D117</f>
        <v>11</v>
      </c>
      <c r="F121" s="35"/>
      <c r="G121" s="35"/>
      <c r="H121" s="35"/>
      <c r="I121" s="35"/>
      <c r="J121" s="35">
        <f>MROUND(($H$2*0.833),$H$4)-(J117+J118+J119+J120)</f>
        <v>10</v>
      </c>
      <c r="K121" s="35">
        <f>MROUND(($H$2*0.712),$H$4)-(K117+K118+K119+K120)</f>
        <v>8</v>
      </c>
      <c r="L121" s="35">
        <f>MROUND(($H$2*0.625),$H$4)-(L117+L118+L119+L120)</f>
        <v>7.5</v>
      </c>
      <c r="M121" s="35">
        <f>MROUND(($H$2*0.555),$H$4)-(M117+M118+M119+M120)</f>
        <v>7</v>
      </c>
      <c r="N121" s="35">
        <f>MROUND(($H$2*0.5),$H$4)-(N117+N118+N119+N120)</f>
        <v>6</v>
      </c>
      <c r="O121" s="35">
        <f>MROUND(($H$2*0.454),$H$4)-(O117+O118+O119+O120)</f>
        <v>5</v>
      </c>
      <c r="P121" s="45">
        <f t="shared" si="16"/>
        <v>27</v>
      </c>
      <c r="S121" s="39"/>
      <c r="T121" s="40"/>
    </row>
    <row r="122" spans="2:20" x14ac:dyDescent="0.25">
      <c r="B122" s="89"/>
      <c r="C122" s="26" t="s">
        <v>29</v>
      </c>
      <c r="D122" s="27">
        <f>D121</f>
        <v>4</v>
      </c>
      <c r="E122" s="27">
        <f>$H$3+D121+D122+D120+D119+D118+D117</f>
        <v>15</v>
      </c>
      <c r="F122" s="36"/>
      <c r="G122" s="36"/>
      <c r="H122" s="36"/>
      <c r="I122" s="36"/>
      <c r="J122" s="36"/>
      <c r="K122" s="36">
        <f>MROUND(($H$2*0.857),$H$4)-(K117+K118+K119+K120+K121)</f>
        <v>9</v>
      </c>
      <c r="L122" s="36">
        <f>MROUND(($H$2*0.75),$H$4)-(L117+L118+L119+L120+L121)</f>
        <v>7.5</v>
      </c>
      <c r="M122" s="36">
        <f>MROUND(($H$2*0.666),$H$4)-(M117+M118+M119+M120+M121)</f>
        <v>6.5</v>
      </c>
      <c r="N122" s="36">
        <f>MROUND(($H$2*0.6),$H$4)-(N117+N118+N119+N120+N121)</f>
        <v>6</v>
      </c>
      <c r="O122" s="36">
        <f>MROUND(($H$2*0.545),$H$4)-(O117+O118+O119+O120+O121)</f>
        <v>5.5</v>
      </c>
      <c r="P122" s="45">
        <f t="shared" si="16"/>
        <v>32.5</v>
      </c>
      <c r="S122" s="39"/>
      <c r="T122" s="40"/>
    </row>
    <row r="123" spans="2:20" x14ac:dyDescent="0.25">
      <c r="B123" s="89"/>
      <c r="C123" s="26" t="s">
        <v>30</v>
      </c>
      <c r="D123" s="27">
        <f t="shared" si="17"/>
        <v>8</v>
      </c>
      <c r="E123" s="27">
        <f>$H$3+D122+D123+D121+D120+D119+D118+D117</f>
        <v>23</v>
      </c>
      <c r="F123" s="35"/>
      <c r="G123" s="35"/>
      <c r="H123" s="35"/>
      <c r="I123" s="35"/>
      <c r="J123" s="35"/>
      <c r="K123" s="35"/>
      <c r="L123" s="35">
        <f>MROUND(($H$2*0.875),$H$4)-(L118+L119+L120+L121+L122+L117)</f>
        <v>7.5</v>
      </c>
      <c r="M123" s="35">
        <f>MROUND(($H$2*0.777),$H$4)-(M118+M119+M120+M121+M122+M117)</f>
        <v>6.5</v>
      </c>
      <c r="N123" s="35">
        <f>MROUND(($H$2*0.7),$H$4)-(N118+N119+N120+N121+N122+N117)</f>
        <v>6</v>
      </c>
      <c r="O123" s="35">
        <f>MROUND(($H$2*0.636),$H$4)-(O118+O119+O120+O121+O122+O117)</f>
        <v>5.5</v>
      </c>
      <c r="P123" s="45">
        <f t="shared" si="16"/>
        <v>38</v>
      </c>
      <c r="S123" s="39"/>
      <c r="T123" s="40"/>
    </row>
    <row r="124" spans="2:20" x14ac:dyDescent="0.25">
      <c r="B124" s="89"/>
      <c r="C124" s="26" t="s">
        <v>31</v>
      </c>
      <c r="D124" s="27">
        <f>D123</f>
        <v>8</v>
      </c>
      <c r="E124" s="27">
        <f>$H$3+D123+D124+D122+D121+D120+D119+D118+D117</f>
        <v>31</v>
      </c>
      <c r="F124" s="36"/>
      <c r="G124" s="36"/>
      <c r="H124" s="36"/>
      <c r="I124" s="36"/>
      <c r="J124" s="36"/>
      <c r="K124" s="36"/>
      <c r="L124" s="36"/>
      <c r="M124" s="36">
        <f>MROUND(($H$2*0.888),$H$4)-(M119+M120+M121+M122+M123+M118+M117)</f>
        <v>7</v>
      </c>
      <c r="N124" s="36">
        <f>MROUND(($H$2*0.8),$H$4)-(N119+N120+N121+N122+N123+N118+N117)</f>
        <v>6</v>
      </c>
      <c r="O124" s="36">
        <f>MROUND(($H$2*0.727),$H$4)-(O119+O120+O121+O122+O123+O118+O117)</f>
        <v>5.5</v>
      </c>
      <c r="P124" s="45">
        <f t="shared" si="16"/>
        <v>43.5</v>
      </c>
      <c r="S124" s="39"/>
      <c r="T124" s="40"/>
    </row>
    <row r="125" spans="2:20" x14ac:dyDescent="0.25">
      <c r="B125" s="89"/>
      <c r="C125" s="26" t="s">
        <v>32</v>
      </c>
      <c r="D125" s="27">
        <f>D124*2</f>
        <v>16</v>
      </c>
      <c r="E125" s="27">
        <f>$H$3+D124+D125+D123+D122+D121+D120+D119+D118+D117</f>
        <v>47</v>
      </c>
      <c r="F125" s="35"/>
      <c r="G125" s="35"/>
      <c r="H125" s="35"/>
      <c r="I125" s="35"/>
      <c r="J125" s="35"/>
      <c r="K125" s="35"/>
      <c r="L125" s="35"/>
      <c r="M125" s="35"/>
      <c r="N125" s="35">
        <f>MROUND(($H$2*0.9),$H$4)-(N117+N118+N120+N121+N122+N123+N124+N119)</f>
        <v>6</v>
      </c>
      <c r="O125" s="35">
        <f>MROUND(($H$2*0.818),$H$4)-(O117+O118+O120+O121+O122+O123+O124+O119)</f>
        <v>5.5</v>
      </c>
      <c r="P125" s="45">
        <f t="shared" si="16"/>
        <v>49</v>
      </c>
      <c r="S125" s="39"/>
      <c r="T125" s="40"/>
    </row>
    <row r="126" spans="2:20" x14ac:dyDescent="0.25">
      <c r="B126" s="89"/>
      <c r="C126" s="26" t="s">
        <v>33</v>
      </c>
      <c r="D126" s="27">
        <f>D125</f>
        <v>16</v>
      </c>
      <c r="E126" s="27">
        <f>$H$3+D125+D126+D124+D123+D122+D121+D120+D119+D118+D117</f>
        <v>63</v>
      </c>
      <c r="F126" s="36"/>
      <c r="G126" s="36"/>
      <c r="H126" s="36"/>
      <c r="I126" s="36"/>
      <c r="J126" s="36"/>
      <c r="K126" s="36"/>
      <c r="L126" s="36"/>
      <c r="M126" s="36"/>
      <c r="N126" s="36"/>
      <c r="O126" s="35">
        <f>MROUND(($H$2*0.909),$H$4)-(O117+O118+O119+O121+O122+O123+O124+O125+O120)</f>
        <v>5.5</v>
      </c>
      <c r="P126" s="45">
        <f t="shared" si="16"/>
        <v>54.5</v>
      </c>
      <c r="S126" s="39"/>
      <c r="T126" s="40"/>
    </row>
    <row r="127" spans="2:20" x14ac:dyDescent="0.25">
      <c r="C127" s="7"/>
      <c r="D127" s="7"/>
      <c r="E127" s="29" t="s">
        <v>22</v>
      </c>
      <c r="F127" s="28">
        <f>(($H$2*D117)*$H$3*$F$4)+(($H$2-F117)*D117*$F$4)</f>
        <v>900</v>
      </c>
      <c r="G127" s="28">
        <f>(($H$2*$H$3)*D117*$F$4)+(($H$2-G117)*D117*$F$4)+(($H$2-(G117+G118))*D118*$F$4)</f>
        <v>1200</v>
      </c>
      <c r="H127" s="28">
        <f>(($H$2*$H$3)*D117*$F$4)+(($H$2-H117)*D117*$F$4)+(($H$2-(H117+H118))*D118*$F$4)+(($H$2-(H117+H118+H119))*D119*$F$4)</f>
        <v>1650</v>
      </c>
      <c r="I127" s="28">
        <f>(($H$2*$H$3)*D117*$F$4)+(($H$2-I117)*D117*$F$4)+(($H$2-(I117+I118))*D118*$F$4)+(($H$2-(I117+I118+I119))*D119*$F$4)+(($H$2-(I117+I118+I119+I120))*D120*$F$4)</f>
        <v>2160</v>
      </c>
      <c r="J127" s="28">
        <f>(($H$2*$H$3)*D117*$F$4)+(($H$2-J117)*D117*$F$4)+(($H$2-(J117+J118))*D118*$F$4)+(($H$2-(J117+J118+J119))*D119*$F$4)+(($H$2-(J117+J118+J119+J120))*D120*$F$4)+(($H$2-(J117+J118+J119+J120+J121))*D121*$F$4)</f>
        <v>2900</v>
      </c>
      <c r="K127" s="28">
        <f>(($H$2*$H$3)*D117*$F$4)+(($H$2-K117)*D117*$F$4)+(($H$2-(K117+K118))*D118*$F$4)+(($H$2-(K117+K118+K119))*D119*$F$4)+(($H$2-(K117+K118+K119+K120))*D120*$F$4)+(($H$2-(K117+K118+K119+K120+K121))*D121*$F$4)+(($H$2-(K117+K118+K119+K120+K121+K122))*D122*$F$4)</f>
        <v>3785</v>
      </c>
      <c r="L127" s="28">
        <f>(($H$2*$H$3)*D117*$F$4)+(($H$2-L117)*D117*$F$4)+(($H$2-(L117+L118))*D118*$F$4)+(($H$2-(L117+L118+L119))*D119*$F$4)+(($H$2-(L117+L118+L119+L120))*D120*$F$4)+(($H$2-(L117+L118+L119+L120+L121))*D121*$F$4)+(($H$2-(L117+L118+L119+L120+L121+L122))*D122*$F$4)+(($H$2-(L117+L118+L119+L120+L121+L122+L123))*D123*$F$4)</f>
        <v>5025</v>
      </c>
      <c r="M127" s="28">
        <f>(($H$2*$H$3)*D117*$F$4)+(($H$2-M117)*D117*$F$4)+(($H$2-(M117+M118))*D118*$F$4)+(($H$2-(M117+M118+M119))*D119*$F$4)+(($H$2-(M117+M118+M119+M120))*D120*$F$4)+(($H$2-(M117+M118+M119+M120+M121))*D121*$F$4)+(($H$2-(M117+M118+M119+M120+M121+M122))*D122*$F$4)+(($H$2-(M117+M118+M119+M120+M121+M122+M123))*D123*$F$4)+(($H$2-(M117+M118+M119+M120+M121+M122+M123+M124))*D124*$F$4)</f>
        <v>6530</v>
      </c>
      <c r="N127" s="28">
        <f>(($H$2*$H$3)*D117*$F$4)+(($H$2-N117)*D117*$F$4)+(($H$2-(N117+N118))*D118*$F$4)+(($H$2-(N117+N118+N119))*D119*$F$4)+(($H$2-(N117+N118+N119+N120))*D120*$F$4)+(($H$2-(N117+N118+N119+N120+N121))*D121*$F$4)+(($H$2-(N117+N118+N119+N120+N121+N122))*D122*$F$4)+(($H$2-(N117+N118+N119+N120+N121+N122+N123))*D123*$F$4)+(($H$2-(N117+N118+N119+N120+N121+N122+N123+N124))*D124*$F$4)+(($H$2-(N117+N118+N119+N120+N121+N122+N123+N124+N125))*D125*$F$4)</f>
        <v>8700</v>
      </c>
      <c r="O127" s="28">
        <f>(($H$2*$H$3)*D117*$F$4)+(($H$2-O117)*D117*$F$4)+(($H$2-(O117+O118))*D118*$F$4)+(($H$2-(O117+O118+O119))*D119*$F$4)+(($H$2-(O117+O118+O119+O120))*D120*$F$4)+(($H$2-(O117+O118+O119+O120+O121))*D121*$F$4)+(($H$2-(O117+O118+O119+O120+O121+O122))*D122*$F$4)+(($H$2-(O117+O118+O119+O120+O121+O122+O123))*D123*$F$4)+(($H$2-(O117+O118+O119+O120+O121+O122+O123+O124))*D124*$F$4)+(($H$2-(O117+O118+O119+O120+O121+O122+O123+O124+O125))*D125*$F$4)+(($H$2-(O117+O118+O119+O120+O121+O122+O123+O124+O125+O126))*D126*$F$4)</f>
        <v>11405</v>
      </c>
      <c r="P127" s="44"/>
      <c r="S127" s="39"/>
      <c r="T127" s="40"/>
    </row>
    <row r="128" spans="2:20" x14ac:dyDescent="0.25">
      <c r="C128" s="7"/>
      <c r="D128" s="7"/>
      <c r="E128" s="7"/>
      <c r="F128" s="7"/>
      <c r="G128" s="7"/>
      <c r="H128" s="7"/>
      <c r="I128" s="7"/>
      <c r="J128" s="7"/>
      <c r="K128" s="7"/>
      <c r="L128" s="7"/>
      <c r="M128" s="7"/>
      <c r="N128" s="7"/>
      <c r="O128" s="7"/>
      <c r="P128" s="7"/>
    </row>
    <row r="129" spans="3:16" x14ac:dyDescent="0.25">
      <c r="C129" s="7"/>
      <c r="D129" s="7"/>
      <c r="E129" s="7"/>
      <c r="F129" s="7"/>
      <c r="G129" s="7"/>
      <c r="H129" s="7"/>
      <c r="I129" s="7"/>
      <c r="J129" s="7"/>
      <c r="K129" s="7"/>
      <c r="L129" s="7"/>
      <c r="M129" s="7"/>
      <c r="N129" s="7"/>
      <c r="O129" s="7"/>
      <c r="P129" s="7"/>
    </row>
    <row r="130" spans="3:16" x14ac:dyDescent="0.25">
      <c r="C130" s="7"/>
      <c r="D130" s="7"/>
      <c r="E130" s="7"/>
      <c r="F130" s="7"/>
      <c r="G130" s="7"/>
      <c r="H130" s="7"/>
      <c r="I130" s="7"/>
      <c r="J130" s="7"/>
      <c r="K130" s="7"/>
      <c r="L130" s="7"/>
      <c r="M130" s="7"/>
      <c r="N130" s="7"/>
      <c r="O130" s="7"/>
      <c r="P130" s="7"/>
    </row>
    <row r="131" spans="3:16" x14ac:dyDescent="0.25">
      <c r="C131" s="7"/>
      <c r="D131" s="7"/>
      <c r="E131" s="7"/>
      <c r="F131" s="7"/>
      <c r="G131" s="7"/>
      <c r="H131" s="7"/>
      <c r="I131" s="7"/>
      <c r="J131" s="7"/>
      <c r="K131" s="7"/>
      <c r="L131" s="7"/>
      <c r="M131" s="7"/>
      <c r="N131" s="7"/>
      <c r="O131" s="7"/>
      <c r="P131" s="7"/>
    </row>
    <row r="132" spans="3:16" x14ac:dyDescent="0.25">
      <c r="C132" s="7"/>
      <c r="D132" s="7"/>
      <c r="E132" s="7"/>
      <c r="F132" s="7"/>
      <c r="G132" s="7"/>
      <c r="H132" s="7"/>
      <c r="I132" s="7"/>
      <c r="J132" s="7"/>
      <c r="K132" s="7"/>
      <c r="L132" s="7"/>
      <c r="M132" s="7"/>
      <c r="N132" s="7"/>
      <c r="O132" s="7"/>
      <c r="P132" s="7"/>
    </row>
    <row r="133" spans="3:16" x14ac:dyDescent="0.25">
      <c r="C133" s="7"/>
      <c r="D133" s="7"/>
      <c r="E133" s="7"/>
      <c r="F133" s="7"/>
      <c r="G133" s="7"/>
      <c r="H133" s="7"/>
      <c r="I133" s="7"/>
      <c r="J133" s="7"/>
      <c r="K133" s="7"/>
      <c r="L133" s="7"/>
      <c r="M133" s="7"/>
      <c r="N133" s="7"/>
      <c r="O133" s="7"/>
      <c r="P133" s="7"/>
    </row>
    <row r="134" spans="3:16" x14ac:dyDescent="0.25">
      <c r="C134" s="7"/>
      <c r="D134" s="7"/>
      <c r="E134" s="7"/>
      <c r="F134" s="7"/>
      <c r="G134" s="7"/>
      <c r="H134" s="7"/>
      <c r="I134" s="7"/>
      <c r="J134" s="7"/>
      <c r="K134" s="7"/>
      <c r="L134" s="7"/>
      <c r="M134" s="7"/>
      <c r="N134" s="7"/>
      <c r="O134" s="7"/>
      <c r="P134" s="7"/>
    </row>
    <row r="135" spans="3:16" x14ac:dyDescent="0.25">
      <c r="C135" s="7"/>
      <c r="D135" s="7"/>
      <c r="E135" s="7"/>
      <c r="F135" s="7"/>
      <c r="G135" s="7"/>
      <c r="H135" s="7"/>
      <c r="I135" s="7"/>
      <c r="J135" s="7"/>
      <c r="K135" s="7"/>
      <c r="L135" s="7"/>
      <c r="M135" s="7"/>
      <c r="N135" s="7"/>
      <c r="O135" s="7"/>
      <c r="P135" s="7"/>
    </row>
    <row r="136" spans="3:16" x14ac:dyDescent="0.25">
      <c r="C136" s="7"/>
      <c r="D136" s="7"/>
      <c r="E136" s="7"/>
      <c r="F136" s="7"/>
      <c r="G136" s="7"/>
      <c r="H136" s="7"/>
      <c r="I136" s="7"/>
      <c r="J136" s="7"/>
      <c r="K136" s="7"/>
      <c r="L136" s="7"/>
      <c r="M136" s="7"/>
      <c r="N136" s="7"/>
      <c r="O136" s="7"/>
      <c r="P136" s="7"/>
    </row>
    <row r="137" spans="3:16" x14ac:dyDescent="0.25">
      <c r="C137" s="7"/>
      <c r="D137" s="7"/>
      <c r="E137" s="7"/>
      <c r="F137" s="7"/>
      <c r="G137" s="7"/>
      <c r="H137" s="7"/>
      <c r="I137" s="7"/>
      <c r="J137" s="7"/>
      <c r="K137" s="7"/>
      <c r="L137" s="7"/>
      <c r="M137" s="7"/>
      <c r="N137" s="7"/>
      <c r="O137" s="7"/>
      <c r="P137" s="7"/>
    </row>
    <row r="138" spans="3:16" x14ac:dyDescent="0.25">
      <c r="C138" s="7"/>
      <c r="D138" s="7"/>
      <c r="E138" s="7"/>
      <c r="F138" s="7"/>
      <c r="G138" s="7"/>
      <c r="H138" s="7"/>
      <c r="I138" s="7"/>
      <c r="J138" s="7"/>
      <c r="K138" s="7"/>
      <c r="L138" s="7"/>
      <c r="M138" s="7"/>
      <c r="N138" s="7"/>
      <c r="O138" s="7"/>
      <c r="P138" s="7"/>
    </row>
    <row r="139" spans="3:16" x14ac:dyDescent="0.25">
      <c r="C139" s="7"/>
      <c r="D139" s="7"/>
      <c r="E139" s="7"/>
      <c r="F139" s="7"/>
      <c r="G139" s="7"/>
      <c r="H139" s="7"/>
      <c r="I139" s="7"/>
      <c r="J139" s="7"/>
      <c r="K139" s="7"/>
      <c r="L139" s="7"/>
      <c r="M139" s="7"/>
      <c r="N139" s="7"/>
      <c r="O139" s="7"/>
      <c r="P139" s="7"/>
    </row>
    <row r="140" spans="3:16" x14ac:dyDescent="0.25">
      <c r="C140" s="7"/>
      <c r="D140" s="7"/>
      <c r="E140" s="7"/>
      <c r="F140" s="7"/>
      <c r="G140" s="7"/>
      <c r="H140" s="7"/>
      <c r="I140" s="7"/>
      <c r="J140" s="7"/>
      <c r="K140" s="7"/>
      <c r="L140" s="7"/>
      <c r="M140" s="7"/>
      <c r="N140" s="7"/>
      <c r="O140" s="7"/>
      <c r="P140" s="7"/>
    </row>
    <row r="141" spans="3:16" x14ac:dyDescent="0.25">
      <c r="C141" s="7"/>
      <c r="D141" s="7"/>
      <c r="E141" s="7"/>
      <c r="F141" s="7"/>
      <c r="G141" s="7"/>
      <c r="H141" s="7"/>
      <c r="I141" s="7"/>
      <c r="J141" s="7"/>
      <c r="K141" s="7"/>
      <c r="L141" s="7"/>
      <c r="M141" s="7"/>
      <c r="N141" s="7"/>
      <c r="O141" s="7"/>
      <c r="P141" s="7"/>
    </row>
    <row r="142" spans="3:16" x14ac:dyDescent="0.25">
      <c r="C142" s="7"/>
      <c r="D142" s="7"/>
      <c r="E142" s="7"/>
      <c r="F142" s="7"/>
      <c r="G142" s="7"/>
      <c r="H142" s="7"/>
      <c r="I142" s="7"/>
      <c r="J142" s="7"/>
      <c r="K142" s="7"/>
      <c r="L142" s="7"/>
      <c r="M142" s="7"/>
      <c r="N142" s="7"/>
      <c r="O142" s="7"/>
      <c r="P142" s="7"/>
    </row>
    <row r="143" spans="3:16" x14ac:dyDescent="0.25">
      <c r="C143" s="7"/>
      <c r="D143" s="7"/>
      <c r="E143" s="7"/>
      <c r="F143" s="7"/>
      <c r="G143" s="7"/>
      <c r="H143" s="7"/>
      <c r="I143" s="7"/>
      <c r="J143" s="7"/>
      <c r="K143" s="7"/>
      <c r="L143" s="7"/>
      <c r="M143" s="7"/>
      <c r="N143" s="7"/>
      <c r="O143" s="7"/>
      <c r="P143" s="7"/>
    </row>
    <row r="144" spans="3:16" x14ac:dyDescent="0.25">
      <c r="C144" s="7"/>
      <c r="D144" s="7"/>
      <c r="E144" s="7"/>
      <c r="F144" s="7"/>
      <c r="G144" s="7"/>
      <c r="H144" s="7"/>
      <c r="I144" s="7"/>
      <c r="J144" s="7"/>
      <c r="K144" s="7"/>
      <c r="L144" s="7"/>
      <c r="M144" s="7"/>
      <c r="N144" s="7"/>
      <c r="O144" s="7"/>
      <c r="P144" s="7"/>
    </row>
    <row r="145" spans="3:16" x14ac:dyDescent="0.25">
      <c r="C145" s="7"/>
      <c r="D145" s="7"/>
      <c r="E145" s="7"/>
      <c r="F145" s="7"/>
      <c r="G145" s="7"/>
      <c r="H145" s="7"/>
      <c r="I145" s="7"/>
      <c r="J145" s="7"/>
      <c r="K145" s="7"/>
      <c r="L145" s="7"/>
      <c r="M145" s="7"/>
      <c r="N145" s="7"/>
      <c r="O145" s="7"/>
      <c r="P145" s="7"/>
    </row>
    <row r="146" spans="3:16" x14ac:dyDescent="0.25">
      <c r="C146" s="7"/>
      <c r="D146" s="7"/>
      <c r="E146" s="7"/>
      <c r="F146" s="7"/>
      <c r="G146" s="7"/>
      <c r="H146" s="7"/>
      <c r="I146" s="7"/>
      <c r="J146" s="7"/>
      <c r="K146" s="7"/>
      <c r="L146" s="7"/>
      <c r="M146" s="7"/>
      <c r="N146" s="7"/>
      <c r="O146" s="7"/>
      <c r="P146" s="7"/>
    </row>
    <row r="147" spans="3:16" x14ac:dyDescent="0.25">
      <c r="C147" s="7"/>
      <c r="D147" s="7"/>
      <c r="E147" s="7"/>
      <c r="F147" s="7"/>
      <c r="G147" s="7"/>
      <c r="H147" s="7"/>
      <c r="I147" s="7"/>
      <c r="J147" s="7"/>
      <c r="K147" s="7"/>
      <c r="L147" s="7"/>
      <c r="M147" s="7"/>
      <c r="N147" s="7"/>
      <c r="O147" s="7"/>
      <c r="P147" s="7"/>
    </row>
    <row r="148" spans="3:16" x14ac:dyDescent="0.25">
      <c r="C148" s="7"/>
      <c r="D148" s="7"/>
      <c r="E148" s="7"/>
      <c r="F148" s="7"/>
      <c r="G148" s="7"/>
      <c r="H148" s="7"/>
      <c r="I148" s="7"/>
      <c r="J148" s="7"/>
      <c r="K148" s="7"/>
      <c r="L148" s="7"/>
      <c r="M148" s="7"/>
      <c r="N148" s="7"/>
      <c r="O148" s="7"/>
      <c r="P148" s="7"/>
    </row>
    <row r="149" spans="3:16" x14ac:dyDescent="0.25">
      <c r="C149" s="7"/>
      <c r="D149" s="7"/>
      <c r="E149" s="7"/>
      <c r="F149" s="7"/>
      <c r="G149" s="7"/>
      <c r="H149" s="7"/>
      <c r="I149" s="7"/>
      <c r="J149" s="7"/>
      <c r="K149" s="7"/>
      <c r="L149" s="7"/>
      <c r="M149" s="7"/>
      <c r="N149" s="7"/>
      <c r="O149" s="7"/>
      <c r="P149" s="7"/>
    </row>
    <row r="150" spans="3:16" x14ac:dyDescent="0.25">
      <c r="C150" s="7"/>
      <c r="D150" s="7"/>
      <c r="E150" s="7"/>
      <c r="F150" s="7"/>
      <c r="G150" s="7"/>
      <c r="H150" s="7"/>
      <c r="I150" s="7"/>
      <c r="J150" s="7"/>
      <c r="K150" s="7"/>
      <c r="L150" s="7"/>
      <c r="M150" s="7"/>
      <c r="N150" s="7"/>
      <c r="O150" s="7"/>
      <c r="P150" s="7"/>
    </row>
    <row r="151" spans="3:16" x14ac:dyDescent="0.25">
      <c r="C151" s="7"/>
      <c r="D151" s="7"/>
      <c r="E151" s="7"/>
      <c r="F151" s="7"/>
      <c r="G151" s="7"/>
      <c r="H151" s="7"/>
      <c r="I151" s="7"/>
      <c r="J151" s="7"/>
      <c r="K151" s="7"/>
      <c r="L151" s="7"/>
      <c r="M151" s="7"/>
      <c r="N151" s="7"/>
      <c r="O151" s="7"/>
      <c r="P151" s="7"/>
    </row>
    <row r="152" spans="3:16" x14ac:dyDescent="0.25">
      <c r="C152" s="7"/>
      <c r="D152" s="7"/>
      <c r="E152" s="7"/>
      <c r="F152" s="7"/>
      <c r="G152" s="7"/>
      <c r="H152" s="7"/>
      <c r="I152" s="7"/>
      <c r="J152" s="7"/>
      <c r="K152" s="7"/>
      <c r="L152" s="7"/>
      <c r="M152" s="7"/>
      <c r="N152" s="7"/>
      <c r="O152" s="7"/>
      <c r="P152" s="7"/>
    </row>
    <row r="153" spans="3:16" x14ac:dyDescent="0.25">
      <c r="C153" s="7"/>
      <c r="D153" s="7"/>
      <c r="E153" s="7"/>
      <c r="F153" s="7"/>
      <c r="G153" s="7"/>
      <c r="H153" s="7"/>
      <c r="I153" s="7"/>
      <c r="J153" s="7"/>
      <c r="K153" s="7"/>
      <c r="L153" s="7"/>
      <c r="M153" s="7"/>
      <c r="N153" s="7"/>
      <c r="O153" s="7"/>
      <c r="P153" s="7"/>
    </row>
    <row r="154" spans="3:16" x14ac:dyDescent="0.25">
      <c r="C154" s="7"/>
      <c r="D154" s="7"/>
      <c r="E154" s="7"/>
      <c r="F154" s="7"/>
      <c r="G154" s="7"/>
      <c r="H154" s="7"/>
      <c r="I154" s="7"/>
      <c r="J154" s="7"/>
      <c r="K154" s="7"/>
      <c r="L154" s="7"/>
      <c r="M154" s="7"/>
      <c r="N154" s="7"/>
      <c r="O154" s="7"/>
      <c r="P154" s="7"/>
    </row>
  </sheetData>
  <mergeCells count="27">
    <mergeCell ref="D5:F5"/>
    <mergeCell ref="I1:O4"/>
    <mergeCell ref="C2:C3"/>
    <mergeCell ref="D2:E2"/>
    <mergeCell ref="D3:E3"/>
    <mergeCell ref="D4:E4"/>
    <mergeCell ref="D71:F71"/>
    <mergeCell ref="B7:B13"/>
    <mergeCell ref="D16:F16"/>
    <mergeCell ref="B18:B24"/>
    <mergeCell ref="D27:F27"/>
    <mergeCell ref="B29:B35"/>
    <mergeCell ref="D38:F38"/>
    <mergeCell ref="B40:B46"/>
    <mergeCell ref="D49:F49"/>
    <mergeCell ref="B51:B57"/>
    <mergeCell ref="D60:F60"/>
    <mergeCell ref="B62:B68"/>
    <mergeCell ref="B106:B112"/>
    <mergeCell ref="D115:F115"/>
    <mergeCell ref="B117:B126"/>
    <mergeCell ref="B73:B79"/>
    <mergeCell ref="D82:F82"/>
    <mergeCell ref="B84:B90"/>
    <mergeCell ref="D93:F93"/>
    <mergeCell ref="B95:B101"/>
    <mergeCell ref="D104:F104"/>
  </mergeCells>
  <pageMargins left="0.511811024" right="0.511811024" top="0.78740157499999996" bottom="0.78740157499999996" header="0.31496062000000002" footer="0.31496062000000002"/>
  <pageSetup orientation="portrait" r:id="rId1"/>
  <ignoredErrors>
    <ignoredError sqref="D119:D126" 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C72BD-0AB5-4216-88D5-15E08DE9BA2F}">
  <sheetPr>
    <tabColor rgb="FFFFC000"/>
  </sheetPr>
  <dimension ref="A1:BA229"/>
  <sheetViews>
    <sheetView zoomScale="120" zoomScaleNormal="120" workbookViewId="0">
      <selection activeCell="E2" sqref="E2:E3"/>
    </sheetView>
  </sheetViews>
  <sheetFormatPr defaultRowHeight="15" x14ac:dyDescent="0.25"/>
  <cols>
    <col min="1" max="1" width="29.7109375" style="7" customWidth="1"/>
    <col min="2" max="2" width="18" customWidth="1"/>
    <col min="6" max="6" width="8.85546875" customWidth="1"/>
    <col min="8" max="8" width="8.28515625" customWidth="1"/>
    <col min="14" max="53" width="9.140625" style="7"/>
  </cols>
  <sheetData>
    <row r="1" spans="2:13" s="7" customFormat="1" ht="11.25" customHeight="1" x14ac:dyDescent="0.25"/>
    <row r="2" spans="2:13" ht="15.75" x14ac:dyDescent="0.25">
      <c r="B2" s="97" t="s">
        <v>89</v>
      </c>
      <c r="C2" s="98" t="s">
        <v>81</v>
      </c>
      <c r="D2" s="98"/>
      <c r="E2" s="99">
        <v>15</v>
      </c>
      <c r="G2" s="100" t="s">
        <v>84</v>
      </c>
      <c r="H2" s="101"/>
      <c r="I2" s="47">
        <v>0.5</v>
      </c>
      <c r="J2" s="7"/>
      <c r="K2" s="7"/>
      <c r="L2" s="7"/>
      <c r="M2" s="7"/>
    </row>
    <row r="3" spans="2:13" x14ac:dyDescent="0.25">
      <c r="B3" s="97"/>
      <c r="C3" s="98"/>
      <c r="D3" s="98"/>
      <c r="E3" s="99"/>
      <c r="F3" s="7"/>
      <c r="G3" s="7"/>
      <c r="H3" s="7"/>
      <c r="I3" s="7"/>
      <c r="J3" s="7"/>
      <c r="K3" s="7"/>
      <c r="L3" s="7"/>
      <c r="M3" s="7"/>
    </row>
    <row r="4" spans="2:13" ht="15" customHeight="1" x14ac:dyDescent="0.25">
      <c r="B4" s="7"/>
      <c r="C4" s="7"/>
      <c r="D4" s="7"/>
      <c r="E4" s="7"/>
      <c r="F4" s="7"/>
      <c r="G4" s="7"/>
      <c r="H4" s="7"/>
      <c r="I4" s="7"/>
      <c r="J4" s="7"/>
      <c r="K4" s="7"/>
      <c r="L4" s="7"/>
      <c r="M4" s="7"/>
    </row>
    <row r="5" spans="2:13" ht="15" customHeight="1" x14ac:dyDescent="0.25">
      <c r="B5" s="58" t="s">
        <v>82</v>
      </c>
      <c r="C5" s="57" t="s">
        <v>83</v>
      </c>
      <c r="D5" s="57" t="s">
        <v>35</v>
      </c>
      <c r="E5" s="57" t="s">
        <v>36</v>
      </c>
      <c r="F5" s="57" t="s">
        <v>37</v>
      </c>
      <c r="G5" s="57" t="s">
        <v>38</v>
      </c>
      <c r="H5" s="57" t="s">
        <v>39</v>
      </c>
      <c r="I5" s="57" t="s">
        <v>40</v>
      </c>
      <c r="J5" s="57" t="s">
        <v>41</v>
      </c>
      <c r="K5" s="57" t="s">
        <v>42</v>
      </c>
      <c r="L5" s="57" t="s">
        <v>43</v>
      </c>
      <c r="M5" s="57" t="s">
        <v>44</v>
      </c>
    </row>
    <row r="6" spans="2:13" x14ac:dyDescent="0.25">
      <c r="B6" s="26" t="s">
        <v>13</v>
      </c>
      <c r="C6" s="36">
        <f>$E$2</f>
        <v>15</v>
      </c>
      <c r="D6" s="36">
        <f t="shared" ref="D6:L6" si="0">$E$2</f>
        <v>15</v>
      </c>
      <c r="E6" s="36">
        <f t="shared" si="0"/>
        <v>15</v>
      </c>
      <c r="F6" s="36">
        <f t="shared" si="0"/>
        <v>15</v>
      </c>
      <c r="G6" s="36">
        <f t="shared" si="0"/>
        <v>15</v>
      </c>
      <c r="H6" s="36">
        <f t="shared" si="0"/>
        <v>15</v>
      </c>
      <c r="I6" s="36">
        <f t="shared" si="0"/>
        <v>15</v>
      </c>
      <c r="J6" s="36">
        <f t="shared" si="0"/>
        <v>15</v>
      </c>
      <c r="K6" s="36">
        <f t="shared" si="0"/>
        <v>15</v>
      </c>
      <c r="L6" s="36">
        <f t="shared" si="0"/>
        <v>15</v>
      </c>
      <c r="M6" s="36">
        <f>$E$2</f>
        <v>15</v>
      </c>
    </row>
    <row r="7" spans="2:13" x14ac:dyDescent="0.25">
      <c r="B7" s="26" t="s">
        <v>24</v>
      </c>
      <c r="C7" s="35"/>
      <c r="D7" s="35">
        <f>$I$2</f>
        <v>0.5</v>
      </c>
      <c r="E7" s="35">
        <f>IF(MROUND(($E$2*0.5),I2)=0,I2,MROUND(($E$2*0.5),I2))</f>
        <v>7.5</v>
      </c>
      <c r="F7" s="35">
        <f>IF(MROUND(($E$2*0.6),I2)=0,I2,MROUND(($E$2*0.6),I2))</f>
        <v>9</v>
      </c>
      <c r="G7" s="35">
        <f>IF(MROUND(($E$2*0.65),I2)=0,I2,MROUND(($E$2*0.65),I2))</f>
        <v>10</v>
      </c>
      <c r="H7" s="35">
        <f>IF(MROUND(($E$2*0.7),I2)=0,I2,MROUND(($E$2*0.7),I2))</f>
        <v>10.5</v>
      </c>
      <c r="I7" s="35">
        <f>IF(MROUND(($E$2*0.73),I2)=0,I2,MROUND(($E$2*0.73),I2))</f>
        <v>11</v>
      </c>
      <c r="J7" s="35">
        <f>IF(MROUND(($E$2*0.75),I2)=0,I2,MROUND(($E$2*0.75),I2))</f>
        <v>11.5</v>
      </c>
      <c r="K7" s="35">
        <f>IF(MROUND(($E$2*0.78),I2)=0,I2,MROUND(($E$2*0.78),I2))</f>
        <v>11.5</v>
      </c>
      <c r="L7" s="35">
        <f>IF(MROUND(($E$2*0.8),I2)=0,I2,MROUND(($E$2*0.8),I2))</f>
        <v>12</v>
      </c>
      <c r="M7" s="35">
        <f>IF(MROUND(($E$2*0.82),I2)=0,I2,MROUND(($E$2*0.82),I2))</f>
        <v>12.5</v>
      </c>
    </row>
    <row r="8" spans="2:13" x14ac:dyDescent="0.25">
      <c r="B8" s="26" t="s">
        <v>25</v>
      </c>
      <c r="C8" s="36"/>
      <c r="D8" s="36"/>
      <c r="E8" s="36">
        <f>$I$2</f>
        <v>0.5</v>
      </c>
      <c r="F8" s="36">
        <f>IF(MROUND(($E$2*0.25),I2)=0,I2,MROUND(($E$2*0.25),I2))</f>
        <v>4</v>
      </c>
      <c r="G8" s="36">
        <f>IF(MROUND(($E$2*0.35),I2)=0,I2,MROUND(($E$2*0.35),I2))</f>
        <v>5.5</v>
      </c>
      <c r="H8" s="36">
        <f>IF(MROUND(($E$2*0.45),I2)=0,I2,MROUND(($E$2*0.45),I2))</f>
        <v>7</v>
      </c>
      <c r="I8" s="36">
        <f>IF(MROUND(($E$2*0.5),I2)=0,I2,MROUND(($E$2*0.5),I2))</f>
        <v>7.5</v>
      </c>
      <c r="J8" s="36">
        <f>IF(MROUND(($E$2*0.58),I2)=0,I2,MROUND(($E$2*0.58),I2))</f>
        <v>8.5</v>
      </c>
      <c r="K8" s="36">
        <f>IF(MROUND(($E$2*0.6),I2)=0,I2,MROUND(($E$2*0.6),I2))</f>
        <v>9</v>
      </c>
      <c r="L8" s="36">
        <f>IF(MROUND(($E$2*0.62),I2)=0,I2,MROUND(($E$2*0.62),I2))</f>
        <v>9.5</v>
      </c>
      <c r="M8" s="36">
        <f>IF(MROUND(($E$2*0.68),I2)=0,I2,MROUND(($E$2*0.68),I2))</f>
        <v>10</v>
      </c>
    </row>
    <row r="9" spans="2:13" x14ac:dyDescent="0.25">
      <c r="B9" s="26" t="s">
        <v>26</v>
      </c>
      <c r="C9" s="35"/>
      <c r="D9" s="35"/>
      <c r="E9" s="35"/>
      <c r="F9" s="35">
        <f>$I$2</f>
        <v>0.5</v>
      </c>
      <c r="G9" s="35">
        <f>IF(MROUND(($E$2*0.15),I2)=0,I2,MROUND(($E$2*0.15),I2))</f>
        <v>2.5</v>
      </c>
      <c r="H9" s="35">
        <f>IF(MROUND(($E$2*0.25),I2)=0,I2,MROUND(($E$2*0.25),I2))</f>
        <v>4</v>
      </c>
      <c r="I9" s="35">
        <f>IF(MROUND(($E$2*0.32),I2)=0,I2,MROUND(($E$2*0.32),I2))</f>
        <v>5</v>
      </c>
      <c r="J9" s="35">
        <f>IF(MROUND(($E$2*0.4),I2)=0,I2,MROUND(($E$2*0.4),I2))</f>
        <v>6</v>
      </c>
      <c r="K9" s="35">
        <f>IF(MROUND(($E$2*0.44),I2)=0,I2,MROUND(($E$2*0.44),I2))</f>
        <v>6.5</v>
      </c>
      <c r="L9" s="35">
        <f>IF(MROUND(($E$2*0.45),I2)=0,I2,MROUND(($E$2*0.45),I2))</f>
        <v>7</v>
      </c>
      <c r="M9" s="35">
        <f>IF(MROUND(($E$2*0.52),I2)=0,I2,MROUND(($E$2*0.52),I2))</f>
        <v>8</v>
      </c>
    </row>
    <row r="10" spans="2:13" x14ac:dyDescent="0.25">
      <c r="B10" s="26" t="s">
        <v>27</v>
      </c>
      <c r="C10" s="36"/>
      <c r="D10" s="36"/>
      <c r="E10" s="36"/>
      <c r="F10" s="36"/>
      <c r="G10" s="36">
        <f>$I$2</f>
        <v>0.5</v>
      </c>
      <c r="H10" s="36">
        <f>IF(MROUND(($E$2*0.12),I2)=0,I2,MROUND(($E$2*0.12),I2))</f>
        <v>2</v>
      </c>
      <c r="I10" s="36">
        <f>IF(MROUND(($E$2*0.2),I2)=0,I2,MROUND(($E$2*0.2),I2))</f>
        <v>3</v>
      </c>
      <c r="J10" s="36">
        <f>IF(MROUND(($E$2*0.28),I2)=0,I2,MROUND(($E$2*0.28),I2))</f>
        <v>4</v>
      </c>
      <c r="K10" s="36">
        <f>IF(MROUND(($E$2*0.3),I2)=0,I2,MROUND(($E$2*0.3),I2))</f>
        <v>4.5</v>
      </c>
      <c r="L10" s="36">
        <f>IF(MROUND(($E$2*0.36),I2)=0,I2,MROUND(($E$2*0.36),I2))</f>
        <v>5.5</v>
      </c>
      <c r="M10" s="36">
        <f>IF(MROUND(($E$2*0.4),I2)=0,I2,MROUND(($E$2*0.4),I2))</f>
        <v>6</v>
      </c>
    </row>
    <row r="11" spans="2:13" x14ac:dyDescent="0.25">
      <c r="B11" s="26" t="s">
        <v>28</v>
      </c>
      <c r="C11" s="35"/>
      <c r="D11" s="35"/>
      <c r="E11" s="35"/>
      <c r="F11" s="35"/>
      <c r="G11" s="35"/>
      <c r="H11" s="35">
        <f>$I$2</f>
        <v>0.5</v>
      </c>
      <c r="I11" s="35">
        <f>IF(MROUND(($E$2*0.1),I2)=0,I2,MROUND(($E$2*0.1),I2))</f>
        <v>1.5</v>
      </c>
      <c r="J11" s="35">
        <f>IF(MROUND(($E$2*0.16),I2)=0,I2,MROUND(($E$2*0.16),I2))</f>
        <v>2.5</v>
      </c>
      <c r="K11" s="35">
        <f>IF(MROUND(($E$2*0.2),I2)=0,I2,MROUND(($E$2*0.2),I2))</f>
        <v>3</v>
      </c>
      <c r="L11" s="35">
        <f>IF(MROUND(($E$2*0.26),I2)=0,I2,MROUND(($E$2*0.26),I2))</f>
        <v>4</v>
      </c>
      <c r="M11" s="35">
        <f>IF(MROUND(($E$2*0.3),I2)=0,I2,MROUND(($E$2*0.3),I2))</f>
        <v>4.5</v>
      </c>
    </row>
    <row r="12" spans="2:13" x14ac:dyDescent="0.25">
      <c r="B12" s="26" t="s">
        <v>29</v>
      </c>
      <c r="C12" s="36"/>
      <c r="D12" s="36"/>
      <c r="E12" s="36"/>
      <c r="F12" s="36"/>
      <c r="G12" s="36"/>
      <c r="H12" s="36"/>
      <c r="I12" s="36">
        <f>$I$2</f>
        <v>0.5</v>
      </c>
      <c r="J12" s="36">
        <f>IF(MROUND(($E$2*0.1),I2)=0,I2,MROUND(($E$2*0.1),I2))</f>
        <v>1.5</v>
      </c>
      <c r="K12" s="36">
        <f>IF(MROUND(($E$2*0.12),I2)=0,I2,MROUND(($E$2*0.12),I2))</f>
        <v>2</v>
      </c>
      <c r="L12" s="36">
        <f>IF(MROUND(($E$2*0.18),I2)=0,I2,MROUND(($E$2*0.18),I2))</f>
        <v>2.5</v>
      </c>
      <c r="M12" s="36">
        <f>IF(MROUND(($E$2*0.22),I2)=0,I2,MROUND(($E$2*0.22),I2))</f>
        <v>3.5</v>
      </c>
    </row>
    <row r="13" spans="2:13" x14ac:dyDescent="0.25">
      <c r="B13" s="26" t="s">
        <v>30</v>
      </c>
      <c r="C13" s="35"/>
      <c r="D13" s="35"/>
      <c r="E13" s="35"/>
      <c r="F13" s="35"/>
      <c r="G13" s="35"/>
      <c r="H13" s="35"/>
      <c r="I13" s="35"/>
      <c r="J13" s="35">
        <f>$I$2</f>
        <v>0.5</v>
      </c>
      <c r="K13" s="35">
        <f>IF(MROUND(($E$2*0.05),I2)=0,I2,MROUND(($E$2*0.05),I2))</f>
        <v>1</v>
      </c>
      <c r="L13" s="35">
        <f>IF(MROUND(($E$2*0.12),I2)=0,I2,MROUND(($E$2*0.12),I2))</f>
        <v>2</v>
      </c>
      <c r="M13" s="35">
        <f>IF(MROUND(($E$2*0.16),I2)=0,I2,MROUND(($E$2*0.16),I2))</f>
        <v>2.5</v>
      </c>
    </row>
    <row r="14" spans="2:13" x14ac:dyDescent="0.25">
      <c r="B14" s="26" t="s">
        <v>31</v>
      </c>
      <c r="C14" s="36"/>
      <c r="D14" s="36"/>
      <c r="E14" s="36"/>
      <c r="F14" s="36"/>
      <c r="G14" s="36"/>
      <c r="H14" s="36"/>
      <c r="I14" s="36"/>
      <c r="J14" s="36"/>
      <c r="K14" s="36">
        <f>$I$2</f>
        <v>0.5</v>
      </c>
      <c r="L14" s="36">
        <f>IF(MROUND(($E$2*0.06),I2)=0,I2,MROUND(($E$2*0.06),I2))</f>
        <v>1</v>
      </c>
      <c r="M14" s="36">
        <f>IF(MROUND(($E$2*0.12),I2)=0,I2,MROUND(($E$2*0.12),I2))</f>
        <v>2</v>
      </c>
    </row>
    <row r="15" spans="2:13" x14ac:dyDescent="0.25">
      <c r="B15" s="26" t="s">
        <v>32</v>
      </c>
      <c r="C15" s="35"/>
      <c r="D15" s="35"/>
      <c r="E15" s="35"/>
      <c r="F15" s="35"/>
      <c r="G15" s="35"/>
      <c r="H15" s="35"/>
      <c r="I15" s="35"/>
      <c r="J15" s="35"/>
      <c r="K15" s="35"/>
      <c r="L15" s="35">
        <f>$I$2</f>
        <v>0.5</v>
      </c>
      <c r="M15" s="35">
        <f>IF(MROUND(($E$2*0.08),I2)=0,I2,MROUND(($E$2*0.08),I2))</f>
        <v>1</v>
      </c>
    </row>
    <row r="16" spans="2:13" x14ac:dyDescent="0.25">
      <c r="B16" s="26" t="s">
        <v>33</v>
      </c>
      <c r="C16" s="36"/>
      <c r="D16" s="36"/>
      <c r="E16" s="36"/>
      <c r="F16" s="36"/>
      <c r="G16" s="36"/>
      <c r="H16" s="36"/>
      <c r="I16" s="36"/>
      <c r="J16" s="36"/>
      <c r="K16" s="36"/>
      <c r="L16" s="36"/>
      <c r="M16" s="36">
        <f>$I$2</f>
        <v>0.5</v>
      </c>
    </row>
    <row r="18" spans="2:13" x14ac:dyDescent="0.25">
      <c r="B18" s="58" t="s">
        <v>85</v>
      </c>
      <c r="C18" s="57" t="s">
        <v>83</v>
      </c>
      <c r="D18" s="57" t="s">
        <v>35</v>
      </c>
      <c r="E18" s="57" t="s">
        <v>36</v>
      </c>
      <c r="F18" s="57" t="s">
        <v>37</v>
      </c>
      <c r="G18" s="57" t="s">
        <v>38</v>
      </c>
      <c r="H18" s="57" t="s">
        <v>39</v>
      </c>
      <c r="I18" s="57" t="s">
        <v>40</v>
      </c>
      <c r="J18" s="57" t="s">
        <v>41</v>
      </c>
      <c r="K18" s="57" t="s">
        <v>42</v>
      </c>
      <c r="L18" s="57" t="s">
        <v>43</v>
      </c>
      <c r="M18" s="57" t="s">
        <v>44</v>
      </c>
    </row>
    <row r="19" spans="2:13" x14ac:dyDescent="0.25">
      <c r="B19" s="26" t="s">
        <v>13</v>
      </c>
      <c r="C19" s="36">
        <f>IF(MROUND(($E$2*0.8),I2)=0,I2,MROUND(($E$2*0.8),I2))</f>
        <v>12</v>
      </c>
      <c r="D19" s="36">
        <f>IF(MROUND(($E$2*0.8),I2)=0,I2,MROUND(($E$2*0.8),I2))</f>
        <v>12</v>
      </c>
      <c r="E19" s="36">
        <f>IF(MROUND(($E$2*0.8),I2)=0,I2,MROUND(($E$2*0.8),I2))</f>
        <v>12</v>
      </c>
      <c r="F19" s="36">
        <f>IF(MROUND(($E$2*0.8),I2)=0,I2,MROUND(($E$2*0.8),I2))</f>
        <v>12</v>
      </c>
      <c r="G19" s="36">
        <f>IF(MROUND(($E$2*0.8),I2)=0,I2,MROUND(($E$2*0.8),I2))</f>
        <v>12</v>
      </c>
      <c r="H19" s="36">
        <f>IF(MROUND(($E$2*0.8),I2)=0,I2,MROUND(($E$2*0.8),I2))</f>
        <v>12</v>
      </c>
      <c r="I19" s="36">
        <f>IF(MROUND(($E$2*0.8),I2)=0,I2,MROUND(($E$2*0.8),I2))</f>
        <v>12</v>
      </c>
      <c r="J19" s="36">
        <f>IF(MROUND(($E$2*0.8),I2)=0,I2,MROUND(($E$2*0.8),I2))</f>
        <v>12</v>
      </c>
      <c r="K19" s="36">
        <f>IF(MROUND(($E$2*0.8),I2)=0,I2,MROUND(($E$2*0.8),I2))</f>
        <v>12</v>
      </c>
      <c r="L19" s="36">
        <f>IF(MROUND(($E$2*0.8),I2)=0,I2,MROUND(($E$2*0.8),I2))</f>
        <v>12</v>
      </c>
      <c r="M19" s="36">
        <f>IF(MROUND(($E$2*0.8),I2)=0,I2,MROUND(($E$2*0.8),I2))</f>
        <v>12</v>
      </c>
    </row>
    <row r="20" spans="2:13" x14ac:dyDescent="0.25">
      <c r="B20" s="26" t="s">
        <v>24</v>
      </c>
      <c r="C20" s="35"/>
      <c r="D20" s="35">
        <f>$I$2</f>
        <v>0.5</v>
      </c>
      <c r="E20" s="35">
        <f>IF(MROUND(($E$2*0.4),I2)=0,I2,MROUND(($E$2*0.4),I2))</f>
        <v>6</v>
      </c>
      <c r="F20" s="35">
        <f>IF(MROUND(($E$2*0.47),I2)=0,I2,MROUND(($E$2*0.47),I2))</f>
        <v>7</v>
      </c>
      <c r="G20" s="35">
        <f>IF(MROUND(($E$2*0.55),I2)=0,I2,MROUND(($E$2*0.55),I2))</f>
        <v>8.5</v>
      </c>
      <c r="H20" s="35">
        <f>IF(MROUND(($E$2*0.6),I2)=0,I2,MROUND(($E$2*0.6),I2))</f>
        <v>9</v>
      </c>
      <c r="I20" s="35">
        <f>IF(MROUND(($E$2*0.62),I2)=0,I2,MROUND(($E$2*0.62),I2))</f>
        <v>9.5</v>
      </c>
      <c r="J20" s="35">
        <f>IF(MROUND(($E$2*0.62),I2)=0,I2,MROUND(($E$2*0.62),I2))</f>
        <v>9.5</v>
      </c>
      <c r="K20" s="35">
        <f>IF(MROUND(($E$2*0.65),I2)=0,I2,MROUND(($E$2*0.65),I2))</f>
        <v>10</v>
      </c>
      <c r="L20" s="35">
        <f>IF(MROUND(($E$2*0.65),I2)=0,I2,MROUND(($E$2*0.65),I2))</f>
        <v>10</v>
      </c>
      <c r="M20" s="35">
        <f>IF(MROUND(($E$2*0.65),I2)=0,I2,MROUND(($E$2*0.65),I2))</f>
        <v>10</v>
      </c>
    </row>
    <row r="21" spans="2:13" x14ac:dyDescent="0.25">
      <c r="B21" s="26" t="s">
        <v>25</v>
      </c>
      <c r="C21" s="36"/>
      <c r="D21" s="36"/>
      <c r="E21" s="36">
        <f>$I$2</f>
        <v>0.5</v>
      </c>
      <c r="F21" s="36">
        <f>IF(MROUND(($E$2*0.2),I2)=0,I2,MROUND(($E$2*0.2),I2))</f>
        <v>3</v>
      </c>
      <c r="G21" s="36">
        <f>IF(MROUND(($E$2*0.33),I2)=0,I2,MROUND(($E$2*0.33),I2))</f>
        <v>5</v>
      </c>
      <c r="H21" s="36">
        <f>IF(MROUND(($E$2*0.37),I2)=0,I2,MROUND(($E$2*0.37),I2))</f>
        <v>5.5</v>
      </c>
      <c r="I21" s="36">
        <f>IF(MROUND(($E$2*0.45),I2)=0,I2,MROUND(($E$2*0.45),I2))</f>
        <v>7</v>
      </c>
      <c r="J21" s="36">
        <f>IF(MROUND(($E$2*0.5),I2)=0,I2,MROUND(($E$2*0.5),I2))</f>
        <v>7.5</v>
      </c>
      <c r="K21" s="36">
        <f>IF(MROUND(($E$2*0.55),I2)=0,I2,MROUND(($E$2*0.55),I2))</f>
        <v>8.5</v>
      </c>
      <c r="L21" s="36">
        <f>IF(MROUND(($E$2*0.55),I2)=0,I2,MROUND(($E$2*0.55),I2))</f>
        <v>8.5</v>
      </c>
      <c r="M21" s="36">
        <f>IF(MROUND(($E$2*0.56),I2)=0,I2,MROUND(($E$2*0.56),I2))</f>
        <v>8.5</v>
      </c>
    </row>
    <row r="22" spans="2:13" x14ac:dyDescent="0.25">
      <c r="B22" s="26" t="s">
        <v>26</v>
      </c>
      <c r="C22" s="35"/>
      <c r="D22" s="35"/>
      <c r="E22" s="35"/>
      <c r="F22" s="35">
        <f>$I$2</f>
        <v>0.5</v>
      </c>
      <c r="G22" s="35">
        <f>IF(MROUND(($E$2*0.15),I2)=0,I2,MROUND(($E$2*0.15),I2))</f>
        <v>2.5</v>
      </c>
      <c r="H22" s="35">
        <f>IF(MROUND(($E$2*0.22),I2)=0,I2,MROUND(($E$2*0.22),I2))</f>
        <v>3.5</v>
      </c>
      <c r="I22" s="35">
        <f>IF(MROUND(($E$2*0.3),I2)=0,I2,MROUND(($E$2*0.3),I2))</f>
        <v>4.5</v>
      </c>
      <c r="J22" s="35">
        <f>IF(MROUND(($E$2*0.36),I2)=0,I2,MROUND(($E$2*0.36),I2))</f>
        <v>5.5</v>
      </c>
      <c r="K22" s="35">
        <f>IF(MROUND(($E$2*0.4),I2)=0,I2,MROUND(($E$2*0.4),I2))</f>
        <v>6</v>
      </c>
      <c r="L22" s="35">
        <f>IF(MROUND(($E$2*0.45),I2)=0,I2,MROUND(($E$2*0.45),I2))</f>
        <v>7</v>
      </c>
      <c r="M22" s="35">
        <f>IF(MROUND(($E$2*0.46),I2)=0,I2,MROUND(($E$2*0.46),I2))</f>
        <v>7</v>
      </c>
    </row>
    <row r="23" spans="2:13" x14ac:dyDescent="0.25">
      <c r="B23" s="26" t="s">
        <v>27</v>
      </c>
      <c r="C23" s="36"/>
      <c r="D23" s="36"/>
      <c r="E23" s="36"/>
      <c r="F23" s="36"/>
      <c r="G23" s="36">
        <f>$I$2</f>
        <v>0.5</v>
      </c>
      <c r="H23" s="36">
        <f>IF(MROUND(($E$2*0.1),I2)=0,I2,MROUND(($E$2*0.1),I2))</f>
        <v>1.5</v>
      </c>
      <c r="I23" s="36">
        <f>IF(MROUND(($E$2*0.18),I2)=0,I2,MROUND(($E$2*0.18),I2))</f>
        <v>2.5</v>
      </c>
      <c r="J23" s="36">
        <f>IF(MROUND(($E$2*0.26),I2)=0,I2,MROUND(($E$2*0.26),I2))</f>
        <v>4</v>
      </c>
      <c r="K23" s="36">
        <f>IF(MROUND(($E$2*0.3),I2)=0,I2,MROUND(($E$2*0.3),I2))</f>
        <v>4.5</v>
      </c>
      <c r="L23" s="36">
        <f>IF(MROUND(($E$2*0.32),I2)=0,I2,MROUND(($E$2*0.32),I2))</f>
        <v>5</v>
      </c>
      <c r="M23" s="36">
        <f>IF(MROUND(($E$2*0.38),I2)=0,I2,MROUND(($E$2*0.38),I2))</f>
        <v>5.5</v>
      </c>
    </row>
    <row r="24" spans="2:13" x14ac:dyDescent="0.25">
      <c r="B24" s="26" t="s">
        <v>28</v>
      </c>
      <c r="C24" s="35"/>
      <c r="D24" s="35"/>
      <c r="E24" s="35"/>
      <c r="F24" s="35"/>
      <c r="G24" s="35"/>
      <c r="H24" s="35">
        <f>$I$2</f>
        <v>0.5</v>
      </c>
      <c r="I24" s="35">
        <f>IF(MROUND(($E$2*0.1),I2)=0,I2,MROUND(($E$2*0.1),I2))</f>
        <v>1.5</v>
      </c>
      <c r="J24" s="35">
        <f>IF(MROUND(($E$2*0.16),I2)=0,I2,MROUND(($E$2*0.16),I2))</f>
        <v>2.5</v>
      </c>
      <c r="K24" s="35">
        <f>IF(MROUND(($E$2*0.2),I2)=0,I2,MROUND(($E$2*0.2),I2))</f>
        <v>3</v>
      </c>
      <c r="L24" s="35">
        <f>IF(MROUND(($E$2*0.27),I2)=0,I2,MROUND(($E$2*0.27),I2))</f>
        <v>4</v>
      </c>
      <c r="M24" s="35">
        <f>IF(MROUND(($E$2*0.3),I2)=0,I2,MROUND(($E$2*0.3),I2))</f>
        <v>4.5</v>
      </c>
    </row>
    <row r="25" spans="2:13" x14ac:dyDescent="0.25">
      <c r="B25" s="26" t="s">
        <v>29</v>
      </c>
      <c r="C25" s="36"/>
      <c r="D25" s="36"/>
      <c r="E25" s="36"/>
      <c r="F25" s="36"/>
      <c r="G25" s="36"/>
      <c r="H25" s="36"/>
      <c r="I25" s="36">
        <f>$I$2</f>
        <v>0.5</v>
      </c>
      <c r="J25" s="36">
        <f>IF(MROUND(($E$2*0.08),I2)=0,I2,MROUND(($E$2*0.08),I2))</f>
        <v>1</v>
      </c>
      <c r="K25" s="36">
        <f>IF(MROUND(($E$2*0.12),I2)=0,I2,MROUND(($E$2*0.12),I2))</f>
        <v>2</v>
      </c>
      <c r="L25" s="36">
        <f>IF(MROUND(($E$2*0.18),I2)=0,I2,MROUND(($E$2*0.18),I2))</f>
        <v>2.5</v>
      </c>
      <c r="M25" s="36">
        <f>IF(MROUND(($E$2*0.22),I2)=0,I2,MROUND(($E$2*0.22),I2))</f>
        <v>3.5</v>
      </c>
    </row>
    <row r="26" spans="2:13" x14ac:dyDescent="0.25">
      <c r="B26" s="26" t="s">
        <v>30</v>
      </c>
      <c r="C26" s="35"/>
      <c r="D26" s="35"/>
      <c r="E26" s="35"/>
      <c r="F26" s="35"/>
      <c r="G26" s="35"/>
      <c r="H26" s="35"/>
      <c r="I26" s="35"/>
      <c r="J26" s="35">
        <f>$I$2</f>
        <v>0.5</v>
      </c>
      <c r="K26" s="35">
        <f>IF(MROUND(($E$2*0.08),I2)=0,I2,MROUND(($E$2*0.08),I2))</f>
        <v>1</v>
      </c>
      <c r="L26" s="35">
        <f>IF(MROUND(($E$2*0.13),I2)=0,I2,MROUND(($E$2*0.13),I2))</f>
        <v>2</v>
      </c>
      <c r="M26" s="35">
        <f>IF(MROUND(($E$2*0.18),I2)=0,I2,MROUND(($E$2*0.18),I2))</f>
        <v>2.5</v>
      </c>
    </row>
    <row r="27" spans="2:13" x14ac:dyDescent="0.25">
      <c r="B27" s="26" t="s">
        <v>31</v>
      </c>
      <c r="C27" s="36"/>
      <c r="D27" s="36"/>
      <c r="E27" s="36"/>
      <c r="F27" s="36"/>
      <c r="G27" s="36"/>
      <c r="H27" s="36"/>
      <c r="I27" s="36"/>
      <c r="J27" s="36"/>
      <c r="K27" s="36">
        <f>$I$2</f>
        <v>0.5</v>
      </c>
      <c r="L27" s="36">
        <f>IF(MROUND(($E$2*0.08),I2)=0,I2,MROUND(($E$2*0.08),I2))</f>
        <v>1</v>
      </c>
      <c r="M27" s="36">
        <f>IF(MROUND(($E$2*0.14),I2)=0,I2,MROUND(($E$2*0.14),I2))</f>
        <v>2</v>
      </c>
    </row>
    <row r="28" spans="2:13" x14ac:dyDescent="0.25">
      <c r="B28" s="26" t="s">
        <v>32</v>
      </c>
      <c r="C28" s="35"/>
      <c r="D28" s="35"/>
      <c r="E28" s="35"/>
      <c r="F28" s="35"/>
      <c r="G28" s="35"/>
      <c r="H28" s="35"/>
      <c r="I28" s="35"/>
      <c r="J28" s="35"/>
      <c r="K28" s="35"/>
      <c r="L28" s="35">
        <f>$I$2</f>
        <v>0.5</v>
      </c>
      <c r="M28" s="35">
        <f>IF(MROUND(($E$2*0.07),I2)=0,I2,MROUND(($E$2*0.07),I2))</f>
        <v>1</v>
      </c>
    </row>
    <row r="29" spans="2:13" x14ac:dyDescent="0.25">
      <c r="B29" s="26" t="s">
        <v>33</v>
      </c>
      <c r="C29" s="36"/>
      <c r="D29" s="36"/>
      <c r="E29" s="36"/>
      <c r="F29" s="36"/>
      <c r="G29" s="36"/>
      <c r="H29" s="36"/>
      <c r="I29" s="36"/>
      <c r="J29" s="36"/>
      <c r="K29" s="36"/>
      <c r="L29" s="36"/>
      <c r="M29" s="36">
        <f>$I$2</f>
        <v>0.5</v>
      </c>
    </row>
    <row r="31" spans="2:13" x14ac:dyDescent="0.25">
      <c r="B31" s="58" t="s">
        <v>86</v>
      </c>
      <c r="C31" s="57" t="s">
        <v>83</v>
      </c>
      <c r="D31" s="57" t="s">
        <v>35</v>
      </c>
      <c r="E31" s="57" t="s">
        <v>36</v>
      </c>
      <c r="F31" s="57" t="s">
        <v>37</v>
      </c>
      <c r="G31" s="57" t="s">
        <v>38</v>
      </c>
      <c r="H31" s="57" t="s">
        <v>39</v>
      </c>
      <c r="I31" s="57" t="s">
        <v>40</v>
      </c>
      <c r="J31" s="57" t="s">
        <v>41</v>
      </c>
      <c r="K31" s="57" t="s">
        <v>42</v>
      </c>
      <c r="L31" s="57" t="s">
        <v>43</v>
      </c>
      <c r="M31" s="57" t="s">
        <v>44</v>
      </c>
    </row>
    <row r="32" spans="2:13" x14ac:dyDescent="0.25">
      <c r="B32" s="26" t="s">
        <v>13</v>
      </c>
      <c r="C32" s="36">
        <f>IF(MROUND(($E$2*0.6),I2)=0,I2,MROUND(($E$2*0.6),I2))</f>
        <v>9</v>
      </c>
      <c r="D32" s="36">
        <f>IF(MROUND(($E$2*0.6),I2)=0,I2,MROUND(($E$2*0.6),I2))</f>
        <v>9</v>
      </c>
      <c r="E32" s="36">
        <f>IF(MROUND(($E$2*0.6),I2)=0,I2,MROUND(($E$2*0.6),I2))</f>
        <v>9</v>
      </c>
      <c r="F32" s="36">
        <f>IF(MROUND(($E$2*0.6),I2)=0,I2,MROUND(($E$2*0.6),I2))</f>
        <v>9</v>
      </c>
      <c r="G32" s="36">
        <f>IF(MROUND(($E$2*0.6),I2)=0,I2,MROUND(($E$2*0.6),I2))</f>
        <v>9</v>
      </c>
      <c r="H32" s="36">
        <f>IF(MROUND(($E$2*0.6),I2)=0,I2,MROUND(($E$2*0.6),I2))</f>
        <v>9</v>
      </c>
      <c r="I32" s="36">
        <f>IF(MROUND(($E$2*0.6),I2)=0,I2,MROUND(($E$2*0.6),I2))</f>
        <v>9</v>
      </c>
      <c r="J32" s="36">
        <f>IF(MROUND(($E$2*0.6),I2)=0,I2,MROUND(($E$2*0.6),I2))</f>
        <v>9</v>
      </c>
      <c r="K32" s="36">
        <f>IF(MROUND(($E$2*0.6),I2)=0,I2,MROUND(($E$2*0.6),I2))</f>
        <v>9</v>
      </c>
      <c r="L32" s="36">
        <f>IF(MROUND(($E$2*0.6),I2)=0,I2,MROUND(($E$2*0.6),I2))</f>
        <v>9</v>
      </c>
      <c r="M32" s="36">
        <f>IF(MROUND(($E$2*0.6),I2)=0,I2,MROUND(($E$2*0.6),I2))</f>
        <v>9</v>
      </c>
    </row>
    <row r="33" spans="2:13" x14ac:dyDescent="0.25">
      <c r="B33" s="26" t="s">
        <v>24</v>
      </c>
      <c r="C33" s="35"/>
      <c r="D33" s="35">
        <f>$I$2</f>
        <v>0.5</v>
      </c>
      <c r="E33" s="35">
        <f>IF(MROUND(($E$2*0.3),I2)=0,I2,MROUND(($E$2*0.3),I2))</f>
        <v>4.5</v>
      </c>
      <c r="F33" s="35">
        <f>IF(MROUND(($E$2*0.35),I2)=0,I2,MROUND(($E$2*0.35),I2))</f>
        <v>5.5</v>
      </c>
      <c r="G33" s="35">
        <f>IF(MROUND(($E$2*0.4),I2)=0,I2,MROUND(($E$2*0.4),I2))</f>
        <v>6</v>
      </c>
      <c r="H33" s="35">
        <f>IF(MROUND(($E$2*0.43),I2)=0,I2,MROUND(($E$2*0.43),I2))</f>
        <v>6.5</v>
      </c>
      <c r="I33" s="35">
        <f>IF(MROUND(($E$2*0.45),I2)=0,I2,MROUND(($E$2*0.45),I2))</f>
        <v>7</v>
      </c>
      <c r="J33" s="35">
        <f>IF(MROUND(($E$2*0.45),I2)=0,I2,MROUND(($E$2*0.45),I2))</f>
        <v>7</v>
      </c>
      <c r="K33" s="35">
        <f>IF(MROUND(($E$2*0.5),I2)=0,I2,MROUND(($E$2*0.5),I2))</f>
        <v>7.5</v>
      </c>
      <c r="L33" s="35">
        <f>IF(MROUND(($E$2*0.51),I2)=0,I2,MROUND(($E$2*0.51),I2))</f>
        <v>7.5</v>
      </c>
      <c r="M33" s="35">
        <f>IF(MROUND(($E$2*0.53),I2)=0,I2,MROUND(($E$2*0.53),I2))</f>
        <v>8</v>
      </c>
    </row>
    <row r="34" spans="2:13" x14ac:dyDescent="0.25">
      <c r="B34" s="26" t="s">
        <v>25</v>
      </c>
      <c r="C34" s="36"/>
      <c r="D34" s="36"/>
      <c r="E34" s="36">
        <f>$I$2</f>
        <v>0.5</v>
      </c>
      <c r="F34" s="36">
        <f>IF(MROUND(($E$2*0.15),I2)=0,I2,MROUND(($E$2*0.15),I2))</f>
        <v>2.5</v>
      </c>
      <c r="G34" s="36">
        <f>IF(MROUND(($E$2*0.25),I2)=0,I2,MROUND(($E$2*0.25),I2))</f>
        <v>4</v>
      </c>
      <c r="H34" s="36">
        <f>IF(MROUND(($E$2*0.3),I2)=0,I2,MROUND(($E$2*0.3),I2))</f>
        <v>4.5</v>
      </c>
      <c r="I34" s="36">
        <f>IF(MROUND(($E$2*0.33),I2)=0,I2,MROUND(($E$2*0.33),I2))</f>
        <v>5</v>
      </c>
      <c r="J34" s="36">
        <f>IF(MROUND(($E$2*0.38),I2)=0,I2,MROUND(($E$2*0.38),I2))</f>
        <v>5.5</v>
      </c>
      <c r="K34" s="36">
        <f>IF(MROUND(($E$2*0.4),I2)=0,I2,MROUND(($E$2*0.4),I2))</f>
        <v>6</v>
      </c>
      <c r="L34" s="36">
        <f>IF(MROUND(($E$2*0.41),I2)=0,I2,MROUND(($E$2*0.41),I2))</f>
        <v>6</v>
      </c>
      <c r="M34" s="36">
        <f>IF(MROUND(($E$2*0.42),I2)=0,I2,MROUND(($E$2*0.42),I2))</f>
        <v>6.5</v>
      </c>
    </row>
    <row r="35" spans="2:13" x14ac:dyDescent="0.25">
      <c r="B35" s="26" t="s">
        <v>26</v>
      </c>
      <c r="C35" s="35"/>
      <c r="D35" s="35"/>
      <c r="E35" s="35"/>
      <c r="F35" s="35">
        <f>$I$2</f>
        <v>0.5</v>
      </c>
      <c r="G35" s="35">
        <f>IF(MROUND(($E$2*0.12),I2)=0,I2,MROUND(($E$2*0.12),I2))</f>
        <v>2</v>
      </c>
      <c r="H35" s="35">
        <f>IF(MROUND(($E$2*0.18),I2)=0,I2,MROUND(($E$2*0.18),I2))</f>
        <v>2.5</v>
      </c>
      <c r="I35" s="35">
        <f>IF(MROUND(($E$2*0.22),I2)=0,I2,MROUND(($E$2*0.22),I2))</f>
        <v>3.5</v>
      </c>
      <c r="J35" s="35">
        <f>IF(MROUND(($E$2*0.28),I2)=0,I2,MROUND(($E$2*0.28),I2))</f>
        <v>4</v>
      </c>
      <c r="K35" s="35">
        <f>IF(MROUND(($E$2*0.3),I2)=0,I2,MROUND(($E$2*0.3),I2))</f>
        <v>4.5</v>
      </c>
      <c r="L35" s="35">
        <f>IF(MROUND(($E$2*0.32),I2)=0,I2,MROUND(($E$2*0.32),I2))</f>
        <v>5</v>
      </c>
      <c r="M35" s="35">
        <f>IF(MROUND(($E$2*0.33),I2)=0,I2,MROUND(($E$2*0.33),I2))</f>
        <v>5</v>
      </c>
    </row>
    <row r="36" spans="2:13" x14ac:dyDescent="0.25">
      <c r="B36" s="26" t="s">
        <v>27</v>
      </c>
      <c r="C36" s="36"/>
      <c r="D36" s="36"/>
      <c r="E36" s="36"/>
      <c r="F36" s="36"/>
      <c r="G36" s="36">
        <f>$I$2</f>
        <v>0.5</v>
      </c>
      <c r="H36" s="36">
        <f>IF(MROUND(($E$2*0.1),I2)=0,I2,MROUND(($E$2*0.1),I2))</f>
        <v>1.5</v>
      </c>
      <c r="I36" s="36">
        <f>IF(MROUND(($E$2*0.13),I2)=0,I2,MROUND(($E$2*0.13),I2))</f>
        <v>2</v>
      </c>
      <c r="J36" s="36">
        <f>IF(MROUND(($E$2*0.15),I2)=0,I2,MROUND(($E$2*0.15),I2))</f>
        <v>2.5</v>
      </c>
      <c r="K36" s="36">
        <f>IF(MROUND(($E$2*0.2),I2)=0,I2,MROUND(($E$2*0.2),I2))</f>
        <v>3</v>
      </c>
      <c r="L36" s="36">
        <f>IF(MROUND(($E$2*0.24),I2)=0,I2,MROUND(($E$2*0.24),I2))</f>
        <v>3.5</v>
      </c>
      <c r="M36" s="36">
        <f>IF(MROUND(($E$2*0.25),I2)=0,I2,MROUND(($E$2*0.25),I2))</f>
        <v>4</v>
      </c>
    </row>
    <row r="37" spans="2:13" x14ac:dyDescent="0.25">
      <c r="B37" s="26" t="s">
        <v>28</v>
      </c>
      <c r="C37" s="35"/>
      <c r="D37" s="35"/>
      <c r="E37" s="35"/>
      <c r="F37" s="35"/>
      <c r="G37" s="35"/>
      <c r="H37" s="35">
        <f>$I$2</f>
        <v>0.5</v>
      </c>
      <c r="I37" s="35">
        <f>IF(MROUND(($E$2*0.08),I2)=0,I2,MROUND(($E$2*0.08),I2))</f>
        <v>1</v>
      </c>
      <c r="J37" s="35">
        <f>IF(MROUND(($E$2*0.1),I2)=0,I2,MROUND(($E$2*0.1),I2))</f>
        <v>1.5</v>
      </c>
      <c r="K37" s="35">
        <f>IF(MROUND(($E$2*0.12),I2)=0,I2,MROUND(($E$2*0.12),I2))</f>
        <v>2</v>
      </c>
      <c r="L37" s="35">
        <f>IF(MROUND(($E$2*0.18),I2)=0,I2,MROUND(($E$2*0.18),I2))</f>
        <v>2.5</v>
      </c>
      <c r="M37" s="35">
        <f>IF(MROUND(($E$2*0.19),I2)=0,I2,MROUND(($E$2*0.19),I2))</f>
        <v>3</v>
      </c>
    </row>
    <row r="38" spans="2:13" x14ac:dyDescent="0.25">
      <c r="B38" s="26" t="s">
        <v>29</v>
      </c>
      <c r="C38" s="36"/>
      <c r="D38" s="36"/>
      <c r="E38" s="36"/>
      <c r="F38" s="36"/>
      <c r="G38" s="36"/>
      <c r="H38" s="36"/>
      <c r="I38" s="36">
        <f>$I$2</f>
        <v>0.5</v>
      </c>
      <c r="J38" s="36">
        <f>IF(MROUND(($E$2*0.08),I2)=0,I2,MROUND(($E$2*0.08),I2))</f>
        <v>1</v>
      </c>
      <c r="K38" s="36">
        <f>IF(MROUND(($E$2*0.1),I2)=0,I2,MROUND(($E$2*0.1),I2))</f>
        <v>1.5</v>
      </c>
      <c r="L38" s="36">
        <f>IF(MROUND(($E$2*0.12),I2)=0,I2,MROUND(($E$2*0.12),I2))</f>
        <v>2</v>
      </c>
      <c r="M38" s="36">
        <f>IF(MROUND(($E$2*0.15),I2)=0,I2,MROUND(($E$2*0.15),I2))</f>
        <v>2.5</v>
      </c>
    </row>
    <row r="39" spans="2:13" x14ac:dyDescent="0.25">
      <c r="B39" s="26" t="s">
        <v>30</v>
      </c>
      <c r="C39" s="35"/>
      <c r="D39" s="35"/>
      <c r="E39" s="35"/>
      <c r="F39" s="35"/>
      <c r="G39" s="35"/>
      <c r="H39" s="35"/>
      <c r="I39" s="35"/>
      <c r="J39" s="35">
        <f>$I$2</f>
        <v>0.5</v>
      </c>
      <c r="K39" s="35">
        <f>IF(MROUND(($E$2*0.08),I2)=0,I2,MROUND(($E$2*0.08),I2))</f>
        <v>1</v>
      </c>
      <c r="L39" s="35">
        <f>IF(MROUND(($E$2*0.1),I2)=0,I2,MROUND(($E$2*0.1),I2))</f>
        <v>1.5</v>
      </c>
      <c r="M39" s="35">
        <f>IF(MROUND(($E$2*0.12),I2)=0,I2,MROUND(($E$2*0.12),I2))</f>
        <v>2</v>
      </c>
    </row>
    <row r="40" spans="2:13" x14ac:dyDescent="0.25">
      <c r="B40" s="26" t="s">
        <v>31</v>
      </c>
      <c r="C40" s="36"/>
      <c r="D40" s="36"/>
      <c r="E40" s="36"/>
      <c r="F40" s="36"/>
      <c r="G40" s="36"/>
      <c r="H40" s="36"/>
      <c r="I40" s="36"/>
      <c r="J40" s="36"/>
      <c r="K40" s="36">
        <f>$I$2</f>
        <v>0.5</v>
      </c>
      <c r="L40" s="36">
        <f>IF(MROUND(($E$2*0.08),I2)=0,I2,MROUND(($E$2*0.08),I2))</f>
        <v>1</v>
      </c>
      <c r="M40" s="36">
        <f>IF(MROUND(($E$2*0.1),I2)=0,I2,MROUND(($E$2*0.1),I2))</f>
        <v>1.5</v>
      </c>
    </row>
    <row r="41" spans="2:13" x14ac:dyDescent="0.25">
      <c r="B41" s="26" t="s">
        <v>32</v>
      </c>
      <c r="C41" s="35"/>
      <c r="D41" s="35"/>
      <c r="E41" s="35"/>
      <c r="F41" s="35"/>
      <c r="G41" s="35"/>
      <c r="H41" s="35"/>
      <c r="I41" s="35"/>
      <c r="J41" s="35"/>
      <c r="K41" s="35"/>
      <c r="L41" s="35">
        <f>$I$2</f>
        <v>0.5</v>
      </c>
      <c r="M41" s="35">
        <f>IF(MROUND(($E$2*0.08),I2)=0,I2,MROUND(($E$2*0.08),I2))</f>
        <v>1</v>
      </c>
    </row>
    <row r="42" spans="2:13" x14ac:dyDescent="0.25">
      <c r="B42" s="26" t="s">
        <v>33</v>
      </c>
      <c r="C42" s="36"/>
      <c r="D42" s="36"/>
      <c r="E42" s="36"/>
      <c r="F42" s="36"/>
      <c r="G42" s="36"/>
      <c r="H42" s="36"/>
      <c r="I42" s="36"/>
      <c r="J42" s="36"/>
      <c r="K42" s="36"/>
      <c r="L42" s="36"/>
      <c r="M42" s="36">
        <f>$I$2</f>
        <v>0.5</v>
      </c>
    </row>
    <row r="43" spans="2:13" s="7" customFormat="1" x14ac:dyDescent="0.25"/>
    <row r="44" spans="2:13" x14ac:dyDescent="0.25">
      <c r="B44" s="58" t="s">
        <v>87</v>
      </c>
      <c r="C44" s="57" t="s">
        <v>83</v>
      </c>
      <c r="D44" s="57" t="s">
        <v>35</v>
      </c>
      <c r="E44" s="57" t="s">
        <v>36</v>
      </c>
      <c r="F44" s="57" t="s">
        <v>37</v>
      </c>
      <c r="G44" s="57" t="s">
        <v>38</v>
      </c>
      <c r="H44" s="57" t="s">
        <v>39</v>
      </c>
      <c r="I44" s="57" t="s">
        <v>40</v>
      </c>
      <c r="J44" s="57" t="s">
        <v>41</v>
      </c>
      <c r="K44" s="57" t="s">
        <v>42</v>
      </c>
      <c r="L44" s="57" t="s">
        <v>43</v>
      </c>
      <c r="M44" s="57" t="s">
        <v>44</v>
      </c>
    </row>
    <row r="45" spans="2:13" x14ac:dyDescent="0.25">
      <c r="B45" s="26" t="s">
        <v>13</v>
      </c>
      <c r="C45" s="36">
        <f>IF(MROUND(($E$2*0.4),I2)=0,I2,MROUND(($E$2*0.4),I2))</f>
        <v>6</v>
      </c>
      <c r="D45" s="36">
        <f>IF(MROUND(($E$2*0.4),I2)=0,I2,MROUND(($E$2*0.4),I2))</f>
        <v>6</v>
      </c>
      <c r="E45" s="36">
        <f>IF(MROUND(($E$2*0.4),I2)=0,I2,MROUND(($E$2*0.4),I2))</f>
        <v>6</v>
      </c>
      <c r="F45" s="36">
        <f>IF(MROUND(($E$2*0.4),I2)=0,I2,MROUND(($E$2*0.4),I2))</f>
        <v>6</v>
      </c>
      <c r="G45" s="36">
        <f>IF(MROUND(($E$2*0.4),I2)=0,I2,MROUND(($E$2*0.4),I2))</f>
        <v>6</v>
      </c>
      <c r="H45" s="36">
        <f>IF(MROUND(($E$2*0.4),I2)=0,I2,MROUND(($E$2*0.4),I2))</f>
        <v>6</v>
      </c>
      <c r="I45" s="36">
        <f>IF(MROUND(($E$2*0.4),I2)=0,I2,MROUND(($E$2*0.4),I2))</f>
        <v>6</v>
      </c>
      <c r="J45" s="36">
        <f>IF(MROUND(($E$2*0.4),I2)=0,I2,MROUND(($E$2*0.4),I2))</f>
        <v>6</v>
      </c>
      <c r="K45" s="36">
        <f>IF(MROUND(($E$2*0.4),I2)=0,I2,MROUND(($E$2*0.4),I2))</f>
        <v>6</v>
      </c>
      <c r="L45" s="36">
        <f>IF(MROUND(($E$2*0.4),I2)=0,I2,MROUND(($E$2*0.4),I2))</f>
        <v>6</v>
      </c>
      <c r="M45" s="36">
        <f>IF(MROUND(($E$2*0.4),I2)=0,I2,MROUND(($E$2*0.4),I2))</f>
        <v>6</v>
      </c>
    </row>
    <row r="46" spans="2:13" x14ac:dyDescent="0.25">
      <c r="B46" s="26" t="s">
        <v>24</v>
      </c>
      <c r="C46" s="35"/>
      <c r="D46" s="35">
        <f>$I$2</f>
        <v>0.5</v>
      </c>
      <c r="E46" s="35">
        <f>IF(MROUND(($E$2*0.2),I2)=0,I2,MROUND(($E$2*0.2),I2))</f>
        <v>3</v>
      </c>
      <c r="F46" s="35">
        <f>IF(MROUND(($E$2*0.2),I2)=0,I2,MROUND(($E$2*0.2),I2))</f>
        <v>3</v>
      </c>
      <c r="G46" s="35">
        <f>IF(MROUND(($E$2*0.26),I2)=0,I2,MROUND(($E$2*0.26),I2))</f>
        <v>4</v>
      </c>
      <c r="H46" s="35">
        <f>IF(MROUND(($E$2*0.3),I2)=0,I2,MROUND(($E$2*0.3),I2))</f>
        <v>4.5</v>
      </c>
      <c r="I46" s="35">
        <f>IF(MROUND(($E$2*0.3),I2)=0,I2,MROUND(($E$2*0.3),I2))</f>
        <v>4.5</v>
      </c>
      <c r="J46" s="35">
        <f>IF(MROUND(($E$2*0.3),I2)=0,I2,MROUND(($E$2*0.3),I2))</f>
        <v>4.5</v>
      </c>
      <c r="K46" s="35">
        <f>IF(MROUND(($E$2*0.33),I2)=0,I2,MROUND(($E$2*0.33),I2))</f>
        <v>5</v>
      </c>
      <c r="L46" s="35">
        <f>IF(MROUND(($E$2*0.34),I2)=0,I2,MROUND(($E$2*0.34),I2))</f>
        <v>5</v>
      </c>
      <c r="M46" s="35">
        <f>IF(MROUND(($E$2*0.35),I2)=0,I2,MROUND(($E$2*0.35),I2))</f>
        <v>5.5</v>
      </c>
    </row>
    <row r="47" spans="2:13" x14ac:dyDescent="0.25">
      <c r="B47" s="26" t="s">
        <v>25</v>
      </c>
      <c r="C47" s="36"/>
      <c r="D47" s="36"/>
      <c r="E47" s="36">
        <f>$I$2</f>
        <v>0.5</v>
      </c>
      <c r="F47" s="36">
        <f>IF(MROUND(($E$2*0.1),I2)=0,I2,MROUND(($E$2*0.1),I2))</f>
        <v>1.5</v>
      </c>
      <c r="G47" s="36">
        <f>IF(MROUND(($E$2*0.16),I2)=0,I2,MROUND(($E$2*0.16),I2))</f>
        <v>2.5</v>
      </c>
      <c r="H47" s="36">
        <f>IF(MROUND(($E$2*0.2),I2)=0,I2,MROUND(($E$2*0.2),I2))</f>
        <v>3</v>
      </c>
      <c r="I47" s="36">
        <f>IF(MROUND(($E$2*0.2),I2)=0,I2,MROUND(($E$2*0.2),I2))</f>
        <v>3</v>
      </c>
      <c r="J47" s="36">
        <f>IF(MROUND(($E$2*0.23),I2)=0,I2,MROUND(($E$2*0.23),I2))</f>
        <v>3.5</v>
      </c>
      <c r="K47" s="36">
        <f>IF(MROUND(($E$2*0.26),I2)=0,I2,MROUND(($E$2*0.26),I2))</f>
        <v>4</v>
      </c>
      <c r="L47" s="36">
        <f>IF(MROUND(($E$2*0.28),I2)=0,I2,MROUND(($E$2*0.28),I2))</f>
        <v>4</v>
      </c>
      <c r="M47" s="36">
        <f>IF(MROUND(($E$2*0.3),I2)=0,I2,MROUND(($E$2*0.3),I2))</f>
        <v>4.5</v>
      </c>
    </row>
    <row r="48" spans="2:13" x14ac:dyDescent="0.25">
      <c r="B48" s="26" t="s">
        <v>26</v>
      </c>
      <c r="C48" s="35"/>
      <c r="D48" s="35"/>
      <c r="E48" s="35"/>
      <c r="F48" s="35">
        <f>$I$2</f>
        <v>0.5</v>
      </c>
      <c r="G48" s="35">
        <f>IF(MROUND(($E$2*0.08),I2)=0,I2,MROUND(($E$2*0.08),I2))</f>
        <v>1</v>
      </c>
      <c r="H48" s="35">
        <f>IF(MROUND(($E$2*0.1),I2)=0,I2,MROUND(($E$2*0.1),I2))</f>
        <v>1.5</v>
      </c>
      <c r="I48" s="35">
        <f>IF(MROUND(($E$2*0.12),I2)=0,I2,MROUND(($E$2*0.12),I2))</f>
        <v>2</v>
      </c>
      <c r="J48" s="35">
        <f>IF(MROUND(($E$2*0.18),I2)=0,I2,MROUND(($E$2*0.18),I2))</f>
        <v>2.5</v>
      </c>
      <c r="K48" s="35">
        <f>IF(MROUND(($E$2*0.2),I2)=0,I2,MROUND(($E$2*0.2),I2))</f>
        <v>3</v>
      </c>
      <c r="L48" s="35">
        <f>IF(MROUND(($E$2*0.22),I2)=0,I2,MROUND(($E$2*0.22),I2))</f>
        <v>3.5</v>
      </c>
      <c r="M48" s="35">
        <f>IF(MROUND(($E$2*0.25),I2)=0,I2,MROUND(($E$2*0.25),I2))</f>
        <v>4</v>
      </c>
    </row>
    <row r="49" spans="2:13" x14ac:dyDescent="0.25">
      <c r="B49" s="26" t="s">
        <v>27</v>
      </c>
      <c r="C49" s="36"/>
      <c r="D49" s="36"/>
      <c r="E49" s="36"/>
      <c r="F49" s="36"/>
      <c r="G49" s="36">
        <f>$I$2</f>
        <v>0.5</v>
      </c>
      <c r="H49" s="36">
        <f>IF(MROUND(($E$2*0.04),I2)=0,I2,MROUND(($E$2*0.04),I2))</f>
        <v>0.5</v>
      </c>
      <c r="I49" s="36">
        <f>IF(MROUND(($E$2*0.08),I2)=0,I2,MROUND(($E$2*0.08),I2))</f>
        <v>1</v>
      </c>
      <c r="J49" s="36">
        <f>IF(MROUND(($E$2*0.12),I2)=0,I2,MROUND(($E$2*0.12),I2))</f>
        <v>2</v>
      </c>
      <c r="K49" s="36">
        <f>IF(MROUND(($E$2*0.15),I2)=0,I2,MROUND(($E$2*0.15),I2))</f>
        <v>2.5</v>
      </c>
      <c r="L49" s="36">
        <f>IF(MROUND(($E$2*0.17),I2)=0,I2,MROUND(($E$2*0.17),I2))</f>
        <v>2.5</v>
      </c>
      <c r="M49" s="36">
        <f>IF(MROUND(($E$2*0.2),I2)=0,I2,MROUND(($E$2*0.2),I2))</f>
        <v>3</v>
      </c>
    </row>
    <row r="50" spans="2:13" x14ac:dyDescent="0.25">
      <c r="B50" s="26" t="s">
        <v>28</v>
      </c>
      <c r="C50" s="35"/>
      <c r="D50" s="35"/>
      <c r="E50" s="35"/>
      <c r="F50" s="35"/>
      <c r="G50" s="35"/>
      <c r="H50" s="35">
        <f>$I$2</f>
        <v>0.5</v>
      </c>
      <c r="I50" s="35">
        <f>IF(MROUND(($E$2*0.03),I2)=0,I2,MROUND(($E$2*0.03),I2))</f>
        <v>0.5</v>
      </c>
      <c r="J50" s="35">
        <f>IF(MROUND(($E$2*0.08),I2)=0,I2,MROUND(($E$2*0.08),I2))</f>
        <v>1</v>
      </c>
      <c r="K50" s="35">
        <f>IF(MROUND(($E$2*0.12),I2)=0,I2,MROUND(($E$2*0.12),I2))</f>
        <v>2</v>
      </c>
      <c r="L50" s="35">
        <f>IF(MROUND(($E$2*0.13),I2)=0,I2,MROUND(($E$2*0.13),I2))</f>
        <v>2</v>
      </c>
      <c r="M50" s="35">
        <f>IF(MROUND(($E$2*0.15),I2)=0,I2,MROUND(($E$2*0.15),I2))</f>
        <v>2.5</v>
      </c>
    </row>
    <row r="51" spans="2:13" x14ac:dyDescent="0.25">
      <c r="B51" s="26" t="s">
        <v>29</v>
      </c>
      <c r="C51" s="36"/>
      <c r="D51" s="36"/>
      <c r="E51" s="36"/>
      <c r="F51" s="36"/>
      <c r="G51" s="36"/>
      <c r="H51" s="36"/>
      <c r="I51" s="36">
        <f>$I$2</f>
        <v>0.5</v>
      </c>
      <c r="J51" s="36">
        <f>IF(MROUND(($E$2*0.04),I2)=0,I2,MROUND(($E$2*0.04),I2))</f>
        <v>0.5</v>
      </c>
      <c r="K51" s="36">
        <f>IF(MROUND(($E$2*0.09),I2)=0,I2,MROUND(($E$2*0.09),I2))</f>
        <v>1.5</v>
      </c>
      <c r="L51" s="36">
        <f>IF(MROUND(($E$2*0.1),I2)=0,I2,MROUND(($E$2*0.1),I2))</f>
        <v>1.5</v>
      </c>
      <c r="M51" s="36">
        <f>IF(MROUND(($E$2*0.12),I2)=0,I2,MROUND(($E$2*0.12),I2))</f>
        <v>2</v>
      </c>
    </row>
    <row r="52" spans="2:13" x14ac:dyDescent="0.25">
      <c r="B52" s="26" t="s">
        <v>30</v>
      </c>
      <c r="C52" s="35"/>
      <c r="D52" s="35"/>
      <c r="E52" s="35"/>
      <c r="F52" s="35"/>
      <c r="G52" s="35"/>
      <c r="H52" s="35"/>
      <c r="I52" s="35"/>
      <c r="J52" s="35">
        <f>$I$2</f>
        <v>0.5</v>
      </c>
      <c r="K52" s="35">
        <f>IF(MROUND(($E$2*0.05),I2)=0,I2,MROUND(($E$2*0.05),I2))</f>
        <v>1</v>
      </c>
      <c r="L52" s="35">
        <f>IF(MROUND(($E$2*0.06),I2)=0,I2,MROUND(($E$2*0.06),I2))</f>
        <v>1</v>
      </c>
      <c r="M52" s="35">
        <f>IF(MROUND(($E$2*0.08),I2)=0,I2,MROUND(($E$2*0.08),I2))</f>
        <v>1</v>
      </c>
    </row>
    <row r="53" spans="2:13" x14ac:dyDescent="0.25">
      <c r="B53" s="26" t="s">
        <v>31</v>
      </c>
      <c r="C53" s="36"/>
      <c r="D53" s="36"/>
      <c r="E53" s="36"/>
      <c r="F53" s="36"/>
      <c r="G53" s="36"/>
      <c r="H53" s="36"/>
      <c r="I53" s="36"/>
      <c r="J53" s="36"/>
      <c r="K53" s="36">
        <f>$I$2</f>
        <v>0.5</v>
      </c>
      <c r="L53" s="36">
        <f>IF(MROUND(($E$2*0.02),I2)=0,I2,MROUND(($E$2*0.02),I2))</f>
        <v>0.5</v>
      </c>
      <c r="M53" s="36">
        <f>IF(MROUND(($E$2*0.05),I2)=0,I2,MROUND(($E$2*0.05),I2))</f>
        <v>1</v>
      </c>
    </row>
    <row r="54" spans="2:13" x14ac:dyDescent="0.25">
      <c r="B54" s="26" t="s">
        <v>32</v>
      </c>
      <c r="C54" s="35"/>
      <c r="D54" s="35"/>
      <c r="E54" s="35"/>
      <c r="F54" s="35"/>
      <c r="G54" s="35"/>
      <c r="H54" s="35"/>
      <c r="I54" s="35"/>
      <c r="J54" s="35"/>
      <c r="K54" s="35"/>
      <c r="L54" s="35">
        <f>$I$2</f>
        <v>0.5</v>
      </c>
      <c r="M54" s="35">
        <f>IF(MROUND(($E$2*0.02),I2)=0,I2,MROUND(($E$2*0.02),I2))</f>
        <v>0.5</v>
      </c>
    </row>
    <row r="55" spans="2:13" x14ac:dyDescent="0.25">
      <c r="B55" s="26" t="s">
        <v>33</v>
      </c>
      <c r="C55" s="32"/>
      <c r="D55" s="32"/>
      <c r="E55" s="32"/>
      <c r="F55" s="32"/>
      <c r="G55" s="32"/>
      <c r="H55" s="32"/>
      <c r="I55" s="32"/>
      <c r="J55" s="32"/>
      <c r="K55" s="32"/>
      <c r="L55" s="32"/>
      <c r="M55" s="32">
        <f>$I$2</f>
        <v>0.5</v>
      </c>
    </row>
    <row r="56" spans="2:13" s="7" customFormat="1" x14ac:dyDescent="0.25"/>
    <row r="57" spans="2:13" x14ac:dyDescent="0.25">
      <c r="B57" s="58" t="s">
        <v>88</v>
      </c>
      <c r="C57" s="57" t="s">
        <v>83</v>
      </c>
      <c r="D57" s="57" t="s">
        <v>35</v>
      </c>
      <c r="E57" s="57" t="s">
        <v>36</v>
      </c>
      <c r="F57" s="57" t="s">
        <v>37</v>
      </c>
      <c r="G57" s="57" t="s">
        <v>38</v>
      </c>
      <c r="H57" s="57" t="s">
        <v>39</v>
      </c>
      <c r="I57" s="57" t="s">
        <v>40</v>
      </c>
      <c r="J57" s="57" t="s">
        <v>41</v>
      </c>
      <c r="K57" s="57" t="s">
        <v>42</v>
      </c>
      <c r="L57" s="57" t="s">
        <v>43</v>
      </c>
      <c r="M57" s="57" t="s">
        <v>44</v>
      </c>
    </row>
    <row r="58" spans="2:13" x14ac:dyDescent="0.25">
      <c r="B58" s="26" t="s">
        <v>13</v>
      </c>
      <c r="C58" s="36">
        <f>IF(MROUND(($E$2*0.2),I2)=0,I2,MROUND(($E$2*0.2),I2))</f>
        <v>3</v>
      </c>
      <c r="D58" s="36">
        <f>IF(MROUND(($E$2*0.2),I2)=0,I2,MROUND(($E$2*0.2),I2))</f>
        <v>3</v>
      </c>
      <c r="E58" s="36">
        <f>IF(MROUND(($E$2*0.2),I2)=0,I2,MROUND(($E$2*0.2),I2))</f>
        <v>3</v>
      </c>
      <c r="F58" s="36">
        <f>IF(MROUND(($E$2*0.2),I2)=0,I2,MROUND(($E$2*0.2),I2))</f>
        <v>3</v>
      </c>
      <c r="G58" s="36">
        <f>IF(MROUND(($E$2*0.2),I2)=0,I2,MROUND(($E$2*0.2),I2))</f>
        <v>3</v>
      </c>
      <c r="H58" s="36">
        <f>IF(MROUND(($E$2*0.2),I2)=0,I2,MROUND(($E$2*0.2),I2))</f>
        <v>3</v>
      </c>
      <c r="I58" s="36">
        <f>IF(MROUND(($E$2*0.2),I2)=0,I2,MROUND(($E$2*0.2),I2))</f>
        <v>3</v>
      </c>
      <c r="J58" s="36">
        <f>IF(MROUND(($E$2*0.2),I2)=0,I2,MROUND(($E$2*0.2),I2))</f>
        <v>3</v>
      </c>
      <c r="K58" s="36">
        <f>IF(MROUND(($E$2*0.2),I2)=0,I2,MROUND(($E$2*0.2),I2))</f>
        <v>3</v>
      </c>
      <c r="L58" s="36">
        <f>IF(MROUND(($E$2*0.2),I2)=0,I2,MROUND(($E$2*0.2),I2))</f>
        <v>3</v>
      </c>
      <c r="M58" s="36">
        <f>IF(MROUND(($E$2*0.2),I2)=0,I2,MROUND(($E$2*0.2),I2))</f>
        <v>3</v>
      </c>
    </row>
    <row r="59" spans="2:13" x14ac:dyDescent="0.25">
      <c r="B59" s="26" t="s">
        <v>24</v>
      </c>
      <c r="C59" s="35"/>
      <c r="D59" s="35">
        <f>$I$2</f>
        <v>0.5</v>
      </c>
      <c r="E59" s="35">
        <f>IF(MROUND(($E$2*0.1),I2)=0,I2,MROUND(($E$2*0.1),I2))</f>
        <v>1.5</v>
      </c>
      <c r="F59" s="35">
        <f>IF(MROUND(($E$2*0.12),I2)=0,I2,MROUND(($E$2*0.12),I2))</f>
        <v>2</v>
      </c>
      <c r="G59" s="35">
        <f>IF(MROUND(($E$2*0.14),I2)=0,I2,MROUND(($E$2*0.14),I2))</f>
        <v>2</v>
      </c>
      <c r="H59" s="35">
        <f>IF(MROUND(($E$2*0.15),I2)=0,I2,MROUND(($E$2*0.15),I2))</f>
        <v>2.5</v>
      </c>
      <c r="I59" s="35">
        <f>IF(MROUND(($E$2*0.16),I2)=0,I2,MROUND(($E$2*0.16),I2))</f>
        <v>2.5</v>
      </c>
      <c r="J59" s="35">
        <f>IF(MROUND(($E$2*0.165),I2)=0,I2,MROUND(($E$2*0.165),I2))</f>
        <v>2.5</v>
      </c>
      <c r="K59" s="35">
        <f>IF(MROUND(($E$2*0.167),I2)=0,I2,MROUND(($E$2*0.167),I2))</f>
        <v>2.5</v>
      </c>
      <c r="L59" s="35">
        <f>IF(MROUND(($E$2*0.165),I2)=0,I2,MROUND(($E$2*0.165),I2))</f>
        <v>2.5</v>
      </c>
      <c r="M59" s="35">
        <f>IF(MROUND(($E$2*0.17),I2)=0,I2,MROUND(($E$2*0.17),I2))</f>
        <v>2.5</v>
      </c>
    </row>
    <row r="60" spans="2:13" x14ac:dyDescent="0.25">
      <c r="B60" s="26" t="s">
        <v>25</v>
      </c>
      <c r="C60" s="36"/>
      <c r="D60" s="36"/>
      <c r="E60" s="36">
        <f>$I$2</f>
        <v>0.5</v>
      </c>
      <c r="F60" s="36">
        <f>IF(MROUND(($E$2*0.06),I2)=0,I2,MROUND(($E$2*0.06),I2))</f>
        <v>1</v>
      </c>
      <c r="G60" s="36">
        <f>IF(MROUND(($E$2*0.09),I2)=0,I2,MROUND(($E$2*0.09),I2))</f>
        <v>1.5</v>
      </c>
      <c r="H60" s="36">
        <f>IF(MROUND(($E$2*0.1),I2)=0,I2,MROUND(($E$2*0.1),I2))</f>
        <v>1.5</v>
      </c>
      <c r="I60" s="36">
        <f>IF(MROUND(($E$2*0.11),I2)=0,I2,MROUND(($E$2*0.11),I2))</f>
        <v>1.5</v>
      </c>
      <c r="J60" s="36">
        <f>IF(MROUND(($E$2*0.12),I2)=0,I2,MROUND(($E$2*0.12),I2))</f>
        <v>2</v>
      </c>
      <c r="K60" s="36">
        <f>IF(MROUND(($E$2*0.13),I2)=0,I2,MROUND(($E$2*0.13),I2))</f>
        <v>2</v>
      </c>
      <c r="L60" s="36">
        <f>IF(MROUND(($E$2*0.135),I2)=0,I2,MROUND(($E$2*0.135),I2))</f>
        <v>2</v>
      </c>
      <c r="M60" s="36">
        <f>IF(MROUND(($E$2*0.14),I2)=0,I2,MROUND(($E$2*0.14),I2))</f>
        <v>2</v>
      </c>
    </row>
    <row r="61" spans="2:13" x14ac:dyDescent="0.25">
      <c r="B61" s="26" t="s">
        <v>26</v>
      </c>
      <c r="C61" s="35"/>
      <c r="D61" s="35"/>
      <c r="E61" s="35"/>
      <c r="F61" s="35">
        <f>$I$2</f>
        <v>0.5</v>
      </c>
      <c r="G61" s="35">
        <f>IF(MROUND(($E$2*0.04),I2)=0,I2,MROUND(($E$2*0.04),I2))</f>
        <v>0.5</v>
      </c>
      <c r="H61" s="35">
        <f>IF(MROUND(($E$2*0.06),I2)=0,I2,MROUND(($E$2*0.06),I2))</f>
        <v>1</v>
      </c>
      <c r="I61" s="35">
        <f>IF(MROUND(($E$2*0.07),I2)=0,I2,MROUND(($E$2*0.07),I2))</f>
        <v>1</v>
      </c>
      <c r="J61" s="35">
        <f>IF(MROUND(($E$2*0.09),I2)=0,I2,MROUND(($E$2*0.09),I2))</f>
        <v>1.5</v>
      </c>
      <c r="K61" s="35">
        <f>IF(MROUND(($E$2*0.1),I2)=0,I2,MROUND(($E$2*0.1),I2))</f>
        <v>1.5</v>
      </c>
      <c r="L61" s="35">
        <f>IF(MROUND(($E$2*0.11),I2)=0,I2,MROUND(($E$2*0.11),I2))</f>
        <v>1.5</v>
      </c>
      <c r="M61" s="35">
        <f>IF(MROUND(($E$2*0.115),I2)=0,I2,MROUND(($E$2*0.115),I2))</f>
        <v>1.5</v>
      </c>
    </row>
    <row r="62" spans="2:13" x14ac:dyDescent="0.25">
      <c r="B62" s="26" t="s">
        <v>27</v>
      </c>
      <c r="C62" s="36"/>
      <c r="D62" s="36"/>
      <c r="E62" s="36"/>
      <c r="F62" s="36"/>
      <c r="G62" s="36">
        <f>$I$2</f>
        <v>0.5</v>
      </c>
      <c r="H62" s="36">
        <f>IF(MROUND(($E$2*0.03),I2)=0,I2,MROUND(($E$2*0.03),I2))</f>
        <v>0.5</v>
      </c>
      <c r="I62" s="36">
        <f>IF(MROUND(($E$2*0.04),I2)=0,I2,MROUND(($E$2*0.04),I2))</f>
        <v>0.5</v>
      </c>
      <c r="J62" s="36">
        <f>IF(MROUND(($E$2*0.06),I2)=0,I2,MROUND(($E$2*0.06),I2))</f>
        <v>1</v>
      </c>
      <c r="K62" s="36">
        <f>IF(MROUND(($E$2*0.07),I2)=0,I2,MROUND(($E$2*0.07),I2))</f>
        <v>1</v>
      </c>
      <c r="L62" s="36">
        <f>IF(MROUND(($E$2*0.08),I2)=0,I2,MROUND(($E$2*0.08),I2))</f>
        <v>1</v>
      </c>
      <c r="M62" s="36">
        <f>IF(MROUND(($E$2*0.09),I2)=0,I2,MROUND(($E$2*0.09),I2))</f>
        <v>1.5</v>
      </c>
    </row>
    <row r="63" spans="2:13" x14ac:dyDescent="0.25">
      <c r="B63" s="26" t="s">
        <v>28</v>
      </c>
      <c r="C63" s="35"/>
      <c r="D63" s="35"/>
      <c r="E63" s="35"/>
      <c r="F63" s="35"/>
      <c r="G63" s="35"/>
      <c r="H63" s="35">
        <f>$I$2</f>
        <v>0.5</v>
      </c>
      <c r="I63" s="35">
        <f>IF(MROUND(($E$2*0.02),I2)=0,I2,MROUND(($E$2*0.02),I2))</f>
        <v>0.5</v>
      </c>
      <c r="J63" s="35">
        <f>IF(MROUND(($E$2*0.04),I2)=0,I2,MROUND(($E$2*0.04),I2))</f>
        <v>0.5</v>
      </c>
      <c r="K63" s="35">
        <f>IF(MROUND(($E$2*0.05),I2)=0,I2,MROUND(($E$2*0.05),I2))</f>
        <v>1</v>
      </c>
      <c r="L63" s="35">
        <f>IF(MROUND(($E$2*0.06),I2)=0,I2,MROUND(($E$2*0.06),I2))</f>
        <v>1</v>
      </c>
      <c r="M63" s="35">
        <f>IF(MROUND(($E$2*0.07),I2)=0,I2,MROUND(($E$2*0.07),I2))</f>
        <v>1</v>
      </c>
    </row>
    <row r="64" spans="2:13" x14ac:dyDescent="0.25">
      <c r="B64" s="26" t="s">
        <v>29</v>
      </c>
      <c r="C64" s="36"/>
      <c r="D64" s="36"/>
      <c r="E64" s="36"/>
      <c r="F64" s="36"/>
      <c r="G64" s="36"/>
      <c r="H64" s="36"/>
      <c r="I64" s="36">
        <f>$I$2</f>
        <v>0.5</v>
      </c>
      <c r="J64" s="36">
        <f>IF(MROUND(($E$2*0.02),I2)=0,I2,MROUND(($E$2*0.02),I2))</f>
        <v>0.5</v>
      </c>
      <c r="K64" s="36">
        <f>IF(MROUND(($E$2*0.03),I2)=0,I2,MROUND(($E$2*0.03),I2))</f>
        <v>0.5</v>
      </c>
      <c r="L64" s="36">
        <f>IF(MROUND(($E$2*0.04),I2)=0,I2,MROUND(($E$2*0.04),I2))</f>
        <v>0.5</v>
      </c>
      <c r="M64" s="36">
        <f>IF(MROUND(($E$2*0.05),I2)=0,I2,MROUND(($E$2*0.05),I2))</f>
        <v>1</v>
      </c>
    </row>
    <row r="65" spans="2:13" x14ac:dyDescent="0.25">
      <c r="B65" s="26" t="s">
        <v>30</v>
      </c>
      <c r="C65" s="35"/>
      <c r="D65" s="35"/>
      <c r="E65" s="35"/>
      <c r="F65" s="35"/>
      <c r="G65" s="35"/>
      <c r="H65" s="35"/>
      <c r="I65" s="35"/>
      <c r="J65" s="35">
        <f>$I$2</f>
        <v>0.5</v>
      </c>
      <c r="K65" s="35">
        <f>IF(MROUND(($E$2*0.02),I2)=0,I2,MROUND(($E$2*0.02),I2))</f>
        <v>0.5</v>
      </c>
      <c r="L65" s="35">
        <f>IF(MROUND(($E$2*0.025),I2)=0,I2,MROUND(($E$2*0.025),I2))</f>
        <v>0.5</v>
      </c>
      <c r="M65" s="35">
        <f>IF(MROUND(($E$2*0.035),I2)=0,I2,MROUND(($E$2*0.035),I2))</f>
        <v>0.5</v>
      </c>
    </row>
    <row r="66" spans="2:13" x14ac:dyDescent="0.25">
      <c r="B66" s="26" t="s">
        <v>31</v>
      </c>
      <c r="C66" s="36"/>
      <c r="D66" s="36"/>
      <c r="E66" s="36"/>
      <c r="F66" s="36"/>
      <c r="G66" s="36"/>
      <c r="H66" s="36"/>
      <c r="I66" s="36"/>
      <c r="J66" s="36"/>
      <c r="K66" s="36">
        <f>$I$2</f>
        <v>0.5</v>
      </c>
      <c r="L66" s="36">
        <f>IF(MROUND(($E$2*0.02),I2)=0,I2,MROUND(($E$2*0.02),I2))</f>
        <v>0.5</v>
      </c>
      <c r="M66" s="36">
        <f>IF(MROUND(($E$2*0.02),I2)=0,I2,MROUND(($E$2*0.02),I2))</f>
        <v>0.5</v>
      </c>
    </row>
    <row r="67" spans="2:13" x14ac:dyDescent="0.25">
      <c r="B67" s="26" t="s">
        <v>32</v>
      </c>
      <c r="C67" s="35"/>
      <c r="D67" s="35"/>
      <c r="E67" s="35"/>
      <c r="F67" s="35"/>
      <c r="G67" s="35"/>
      <c r="H67" s="35"/>
      <c r="I67" s="35"/>
      <c r="J67" s="35"/>
      <c r="K67" s="35"/>
      <c r="L67" s="35">
        <f>$I$2</f>
        <v>0.5</v>
      </c>
      <c r="M67" s="35">
        <f>IF(MROUND(($E$2*0.02),I2)=0,I2,MROUND(($E$2*0.02),I2))</f>
        <v>0.5</v>
      </c>
    </row>
    <row r="68" spans="2:13" x14ac:dyDescent="0.25">
      <c r="B68" s="26" t="s">
        <v>33</v>
      </c>
      <c r="C68" s="36"/>
      <c r="D68" s="36"/>
      <c r="E68" s="36"/>
      <c r="F68" s="36"/>
      <c r="G68" s="36"/>
      <c r="H68" s="36"/>
      <c r="I68" s="36"/>
      <c r="J68" s="36"/>
      <c r="K68" s="36"/>
      <c r="L68" s="36"/>
      <c r="M68" s="36">
        <f>$I$2</f>
        <v>0.5</v>
      </c>
    </row>
    <row r="69" spans="2:13" x14ac:dyDescent="0.25">
      <c r="B69" s="7"/>
      <c r="C69" s="7"/>
      <c r="D69" s="7"/>
      <c r="E69" s="7"/>
      <c r="F69" s="7"/>
      <c r="G69" s="7"/>
      <c r="H69" s="7"/>
      <c r="I69" s="7"/>
      <c r="J69" s="7"/>
      <c r="K69" s="7"/>
      <c r="L69" s="7"/>
      <c r="M69" s="7"/>
    </row>
    <row r="70" spans="2:13" x14ac:dyDescent="0.25">
      <c r="B70" s="7"/>
      <c r="C70" s="7"/>
      <c r="D70" s="7"/>
      <c r="E70" s="7"/>
      <c r="F70" s="7"/>
      <c r="G70" s="7"/>
      <c r="H70" s="7"/>
      <c r="I70" s="7"/>
      <c r="J70" s="7"/>
      <c r="K70" s="7"/>
      <c r="L70" s="7"/>
      <c r="M70" s="7"/>
    </row>
    <row r="71" spans="2:13" x14ac:dyDescent="0.25">
      <c r="B71" s="7"/>
      <c r="C71" s="7"/>
      <c r="D71" s="7"/>
      <c r="E71" s="7"/>
      <c r="F71" s="7"/>
      <c r="G71" s="7"/>
      <c r="H71" s="7"/>
      <c r="I71" s="7"/>
      <c r="J71" s="7"/>
      <c r="K71" s="7"/>
      <c r="L71" s="7"/>
      <c r="M71" s="7"/>
    </row>
    <row r="72" spans="2:13" x14ac:dyDescent="0.25">
      <c r="B72" s="7"/>
      <c r="C72" s="7"/>
      <c r="D72" s="7"/>
      <c r="E72" s="7"/>
      <c r="F72" s="7"/>
      <c r="G72" s="7"/>
      <c r="H72" s="7"/>
      <c r="I72" s="7"/>
      <c r="J72" s="7"/>
      <c r="K72" s="7"/>
      <c r="L72" s="7"/>
      <c r="M72" s="7"/>
    </row>
    <row r="73" spans="2:13" x14ac:dyDescent="0.25">
      <c r="B73" s="7"/>
      <c r="C73" s="7"/>
      <c r="D73" s="7"/>
      <c r="E73" s="7"/>
      <c r="F73" s="7"/>
      <c r="G73" s="7"/>
      <c r="H73" s="7"/>
      <c r="I73" s="7"/>
      <c r="J73" s="7"/>
      <c r="K73" s="7"/>
      <c r="L73" s="7"/>
      <c r="M73" s="7"/>
    </row>
    <row r="74" spans="2:13" x14ac:dyDescent="0.25">
      <c r="B74" s="7"/>
      <c r="C74" s="7"/>
      <c r="D74" s="7"/>
      <c r="E74" s="7"/>
      <c r="F74" s="7"/>
      <c r="G74" s="7"/>
      <c r="H74" s="7"/>
      <c r="I74" s="7"/>
      <c r="J74" s="7"/>
      <c r="K74" s="7"/>
      <c r="L74" s="7"/>
      <c r="M74" s="7"/>
    </row>
    <row r="75" spans="2:13" x14ac:dyDescent="0.25">
      <c r="B75" s="7"/>
      <c r="C75" s="7"/>
      <c r="D75" s="7"/>
      <c r="E75" s="7"/>
      <c r="F75" s="7"/>
      <c r="G75" s="7"/>
      <c r="H75" s="7"/>
      <c r="I75" s="7"/>
      <c r="J75" s="7"/>
      <c r="K75" s="7"/>
      <c r="L75" s="7"/>
      <c r="M75" s="7"/>
    </row>
    <row r="76" spans="2:13" x14ac:dyDescent="0.25">
      <c r="B76" s="7"/>
      <c r="C76" s="7"/>
      <c r="D76" s="7"/>
      <c r="E76" s="7"/>
      <c r="F76" s="7"/>
      <c r="G76" s="7"/>
      <c r="H76" s="7"/>
      <c r="I76" s="7"/>
      <c r="J76" s="7"/>
      <c r="K76" s="7"/>
      <c r="L76" s="7"/>
      <c r="M76" s="7"/>
    </row>
    <row r="77" spans="2:13" x14ac:dyDescent="0.25">
      <c r="B77" s="7"/>
      <c r="C77" s="7"/>
      <c r="D77" s="7"/>
      <c r="E77" s="7"/>
      <c r="F77" s="7"/>
      <c r="G77" s="7"/>
      <c r="H77" s="7"/>
      <c r="I77" s="7"/>
      <c r="J77" s="7"/>
      <c r="K77" s="7"/>
      <c r="L77" s="7"/>
      <c r="M77" s="7"/>
    </row>
    <row r="78" spans="2:13" x14ac:dyDescent="0.25">
      <c r="B78" s="7"/>
      <c r="C78" s="7"/>
      <c r="D78" s="7"/>
      <c r="E78" s="7"/>
      <c r="F78" s="7"/>
      <c r="G78" s="7"/>
      <c r="H78" s="7"/>
      <c r="I78" s="7"/>
      <c r="J78" s="7"/>
      <c r="K78" s="7"/>
      <c r="L78" s="7"/>
      <c r="M78" s="7"/>
    </row>
    <row r="79" spans="2:13" x14ac:dyDescent="0.25">
      <c r="B79" s="7"/>
      <c r="C79" s="7"/>
      <c r="D79" s="7"/>
      <c r="E79" s="7"/>
      <c r="F79" s="7"/>
      <c r="G79" s="7"/>
      <c r="H79" s="7"/>
      <c r="I79" s="7"/>
      <c r="J79" s="7"/>
      <c r="K79" s="7"/>
      <c r="L79" s="7"/>
      <c r="M79" s="7"/>
    </row>
    <row r="80" spans="2:13" x14ac:dyDescent="0.25">
      <c r="B80" s="7"/>
      <c r="C80" s="7"/>
      <c r="D80" s="7"/>
      <c r="E80" s="7"/>
      <c r="F80" s="7"/>
      <c r="G80" s="7"/>
      <c r="H80" s="7"/>
      <c r="I80" s="7"/>
      <c r="J80" s="7"/>
      <c r="K80" s="7"/>
      <c r="L80" s="7"/>
      <c r="M80" s="7"/>
    </row>
    <row r="81" spans="2:13" x14ac:dyDescent="0.25">
      <c r="B81" s="7"/>
      <c r="C81" s="7"/>
      <c r="D81" s="7"/>
      <c r="E81" s="7"/>
      <c r="F81" s="7"/>
      <c r="G81" s="7"/>
      <c r="H81" s="7"/>
      <c r="I81" s="7"/>
      <c r="J81" s="7"/>
      <c r="K81" s="7"/>
      <c r="L81" s="7"/>
      <c r="M81" s="7"/>
    </row>
    <row r="82" spans="2:13" x14ac:dyDescent="0.25">
      <c r="B82" s="7"/>
      <c r="C82" s="7"/>
      <c r="D82" s="7"/>
      <c r="E82" s="7"/>
      <c r="F82" s="7"/>
      <c r="G82" s="7"/>
      <c r="H82" s="7"/>
      <c r="I82" s="7"/>
      <c r="J82" s="7"/>
      <c r="K82" s="7"/>
      <c r="L82" s="7"/>
      <c r="M82" s="7"/>
    </row>
    <row r="83" spans="2:13" x14ac:dyDescent="0.25">
      <c r="B83" s="7"/>
      <c r="C83" s="7"/>
      <c r="D83" s="7"/>
      <c r="E83" s="7"/>
      <c r="F83" s="7"/>
      <c r="G83" s="7"/>
      <c r="H83" s="7"/>
      <c r="I83" s="7"/>
      <c r="J83" s="7"/>
      <c r="K83" s="7"/>
      <c r="L83" s="7"/>
      <c r="M83" s="7"/>
    </row>
    <row r="84" spans="2:13" x14ac:dyDescent="0.25">
      <c r="B84" s="7"/>
      <c r="C84" s="7"/>
      <c r="D84" s="7"/>
      <c r="E84" s="7"/>
      <c r="F84" s="7"/>
      <c r="G84" s="7"/>
      <c r="H84" s="7"/>
      <c r="I84" s="7"/>
      <c r="J84" s="7"/>
      <c r="K84" s="7"/>
      <c r="L84" s="7"/>
      <c r="M84" s="7"/>
    </row>
    <row r="85" spans="2:13" x14ac:dyDescent="0.25">
      <c r="B85" s="7"/>
      <c r="C85" s="7"/>
      <c r="D85" s="7"/>
      <c r="E85" s="7"/>
      <c r="F85" s="7"/>
      <c r="G85" s="7"/>
      <c r="H85" s="7"/>
      <c r="I85" s="7"/>
      <c r="J85" s="7"/>
      <c r="K85" s="7"/>
      <c r="L85" s="7"/>
      <c r="M85" s="7"/>
    </row>
    <row r="86" spans="2:13" x14ac:dyDescent="0.25">
      <c r="B86" s="7"/>
      <c r="C86" s="7"/>
      <c r="D86" s="7"/>
      <c r="E86" s="7"/>
      <c r="F86" s="7"/>
      <c r="G86" s="7"/>
      <c r="H86" s="7"/>
      <c r="I86" s="7"/>
      <c r="J86" s="7"/>
      <c r="K86" s="7"/>
      <c r="L86" s="7"/>
      <c r="M86" s="7"/>
    </row>
    <row r="87" spans="2:13" x14ac:dyDescent="0.25">
      <c r="B87" s="7"/>
      <c r="C87" s="7"/>
      <c r="D87" s="7"/>
      <c r="E87" s="7"/>
      <c r="F87" s="7"/>
      <c r="G87" s="7"/>
      <c r="H87" s="7"/>
      <c r="I87" s="7"/>
      <c r="J87" s="7"/>
      <c r="K87" s="7"/>
      <c r="L87" s="7"/>
      <c r="M87" s="7"/>
    </row>
    <row r="88" spans="2:13" x14ac:dyDescent="0.25">
      <c r="B88" s="7"/>
      <c r="C88" s="7"/>
      <c r="D88" s="7"/>
      <c r="E88" s="7"/>
      <c r="F88" s="7"/>
      <c r="G88" s="7"/>
      <c r="H88" s="7"/>
      <c r="I88" s="7"/>
      <c r="J88" s="7"/>
      <c r="K88" s="7"/>
      <c r="L88" s="7"/>
      <c r="M88" s="7"/>
    </row>
    <row r="89" spans="2:13" x14ac:dyDescent="0.25">
      <c r="B89" s="7"/>
      <c r="C89" s="7"/>
      <c r="D89" s="7"/>
      <c r="E89" s="7"/>
      <c r="F89" s="7"/>
      <c r="G89" s="7"/>
      <c r="H89" s="7"/>
      <c r="I89" s="7"/>
      <c r="J89" s="7"/>
      <c r="K89" s="7"/>
      <c r="L89" s="7"/>
      <c r="M89" s="7"/>
    </row>
    <row r="90" spans="2:13" x14ac:dyDescent="0.25">
      <c r="B90" s="7"/>
      <c r="C90" s="7"/>
      <c r="D90" s="7"/>
      <c r="E90" s="7"/>
      <c r="F90" s="7"/>
      <c r="G90" s="7"/>
      <c r="H90" s="7"/>
      <c r="I90" s="7"/>
      <c r="J90" s="7"/>
      <c r="K90" s="7"/>
      <c r="L90" s="7"/>
      <c r="M90" s="7"/>
    </row>
    <row r="91" spans="2:13" x14ac:dyDescent="0.25">
      <c r="B91" s="7"/>
      <c r="C91" s="7"/>
      <c r="D91" s="7"/>
      <c r="E91" s="7"/>
      <c r="F91" s="7"/>
      <c r="G91" s="7"/>
      <c r="H91" s="7"/>
      <c r="I91" s="7"/>
      <c r="J91" s="7"/>
      <c r="K91" s="7"/>
      <c r="L91" s="7"/>
      <c r="M91" s="7"/>
    </row>
    <row r="92" spans="2:13" x14ac:dyDescent="0.25">
      <c r="B92" s="7"/>
      <c r="C92" s="7"/>
      <c r="D92" s="7"/>
      <c r="E92" s="7"/>
      <c r="F92" s="7"/>
      <c r="G92" s="7"/>
      <c r="H92" s="7"/>
      <c r="I92" s="7"/>
      <c r="J92" s="7"/>
      <c r="K92" s="7"/>
      <c r="L92" s="7"/>
      <c r="M92" s="7"/>
    </row>
    <row r="93" spans="2:13" x14ac:dyDescent="0.25">
      <c r="B93" s="7"/>
      <c r="C93" s="7"/>
      <c r="D93" s="7"/>
      <c r="E93" s="7"/>
      <c r="F93" s="7"/>
      <c r="G93" s="7"/>
      <c r="H93" s="7"/>
      <c r="I93" s="7"/>
      <c r="J93" s="7"/>
      <c r="K93" s="7"/>
      <c r="L93" s="7"/>
      <c r="M93" s="7"/>
    </row>
    <row r="94" spans="2:13" x14ac:dyDescent="0.25">
      <c r="B94" s="7"/>
      <c r="C94" s="7"/>
      <c r="D94" s="7"/>
      <c r="E94" s="7"/>
      <c r="F94" s="7"/>
      <c r="G94" s="7"/>
      <c r="H94" s="7"/>
      <c r="I94" s="7"/>
      <c r="J94" s="7"/>
      <c r="K94" s="7"/>
      <c r="L94" s="7"/>
      <c r="M94" s="7"/>
    </row>
    <row r="95" spans="2:13" x14ac:dyDescent="0.25">
      <c r="B95" s="7"/>
      <c r="C95" s="7"/>
      <c r="D95" s="7"/>
      <c r="E95" s="7"/>
      <c r="F95" s="7"/>
      <c r="G95" s="7"/>
      <c r="H95" s="7"/>
      <c r="I95" s="7"/>
      <c r="J95" s="7"/>
      <c r="K95" s="7"/>
      <c r="L95" s="7"/>
      <c r="M95" s="7"/>
    </row>
    <row r="96" spans="2:13" x14ac:dyDescent="0.25">
      <c r="B96" s="7"/>
      <c r="C96" s="7"/>
      <c r="D96" s="7"/>
      <c r="E96" s="7"/>
      <c r="F96" s="7"/>
      <c r="G96" s="7"/>
      <c r="H96" s="7"/>
      <c r="I96" s="7"/>
      <c r="J96" s="7"/>
      <c r="K96" s="7"/>
      <c r="L96" s="7"/>
      <c r="M96" s="7"/>
    </row>
    <row r="97" spans="2:13" x14ac:dyDescent="0.25">
      <c r="B97" s="7"/>
      <c r="C97" s="7"/>
      <c r="D97" s="7"/>
      <c r="E97" s="7"/>
      <c r="F97" s="7"/>
      <c r="G97" s="7"/>
      <c r="H97" s="7"/>
      <c r="I97" s="7"/>
      <c r="J97" s="7"/>
      <c r="K97" s="7"/>
      <c r="L97" s="7"/>
      <c r="M97" s="7"/>
    </row>
    <row r="98" spans="2:13" x14ac:dyDescent="0.25">
      <c r="B98" s="7"/>
      <c r="C98" s="7"/>
      <c r="D98" s="7"/>
      <c r="E98" s="7"/>
      <c r="F98" s="7"/>
      <c r="G98" s="7"/>
      <c r="H98" s="7"/>
      <c r="I98" s="7"/>
      <c r="J98" s="7"/>
      <c r="K98" s="7"/>
      <c r="L98" s="7"/>
      <c r="M98" s="7"/>
    </row>
    <row r="99" spans="2:13" x14ac:dyDescent="0.25">
      <c r="B99" s="7"/>
      <c r="C99" s="7"/>
      <c r="D99" s="7"/>
      <c r="E99" s="7"/>
      <c r="F99" s="7"/>
      <c r="G99" s="7"/>
      <c r="H99" s="7"/>
      <c r="I99" s="7"/>
      <c r="J99" s="7"/>
      <c r="K99" s="7"/>
      <c r="L99" s="7"/>
      <c r="M99" s="7"/>
    </row>
    <row r="100" spans="2:13" x14ac:dyDescent="0.25">
      <c r="B100" s="7"/>
      <c r="C100" s="7"/>
      <c r="D100" s="7"/>
      <c r="E100" s="7"/>
      <c r="F100" s="7"/>
      <c r="G100" s="7"/>
      <c r="H100" s="7"/>
      <c r="I100" s="7"/>
      <c r="J100" s="7"/>
      <c r="K100" s="7"/>
      <c r="L100" s="7"/>
      <c r="M100" s="7"/>
    </row>
    <row r="101" spans="2:13" x14ac:dyDescent="0.25">
      <c r="B101" s="7"/>
      <c r="C101" s="7"/>
      <c r="D101" s="7"/>
      <c r="E101" s="7"/>
      <c r="F101" s="7"/>
      <c r="G101" s="7"/>
      <c r="H101" s="7"/>
      <c r="I101" s="7"/>
      <c r="J101" s="7"/>
      <c r="K101" s="7"/>
      <c r="L101" s="7"/>
      <c r="M101" s="7"/>
    </row>
    <row r="102" spans="2:13" x14ac:dyDescent="0.25">
      <c r="B102" s="7"/>
      <c r="C102" s="7"/>
      <c r="D102" s="7"/>
      <c r="E102" s="7"/>
      <c r="F102" s="7"/>
      <c r="G102" s="7"/>
      <c r="H102" s="7"/>
      <c r="I102" s="7"/>
      <c r="J102" s="7"/>
      <c r="K102" s="7"/>
      <c r="L102" s="7"/>
      <c r="M102" s="7"/>
    </row>
    <row r="103" spans="2:13" x14ac:dyDescent="0.25">
      <c r="B103" s="7"/>
      <c r="C103" s="7"/>
      <c r="D103" s="7"/>
      <c r="E103" s="7"/>
      <c r="F103" s="7"/>
      <c r="G103" s="7"/>
      <c r="H103" s="7"/>
      <c r="I103" s="7"/>
      <c r="J103" s="7"/>
      <c r="K103" s="7"/>
      <c r="L103" s="7"/>
      <c r="M103" s="7"/>
    </row>
    <row r="104" spans="2:13" x14ac:dyDescent="0.25">
      <c r="B104" s="7"/>
      <c r="C104" s="7"/>
      <c r="D104" s="7"/>
      <c r="E104" s="7"/>
      <c r="F104" s="7"/>
      <c r="G104" s="7"/>
      <c r="H104" s="7"/>
      <c r="I104" s="7"/>
      <c r="J104" s="7"/>
      <c r="K104" s="7"/>
      <c r="L104" s="7"/>
      <c r="M104" s="7"/>
    </row>
    <row r="105" spans="2:13" x14ac:dyDescent="0.25">
      <c r="B105" s="7"/>
      <c r="C105" s="7"/>
      <c r="D105" s="7"/>
      <c r="E105" s="7"/>
      <c r="F105" s="7"/>
      <c r="G105" s="7"/>
      <c r="H105" s="7"/>
      <c r="I105" s="7"/>
      <c r="J105" s="7"/>
      <c r="K105" s="7"/>
      <c r="L105" s="7"/>
      <c r="M105" s="7"/>
    </row>
    <row r="106" spans="2:13" x14ac:dyDescent="0.25">
      <c r="B106" s="7"/>
      <c r="C106" s="7"/>
      <c r="D106" s="7"/>
      <c r="E106" s="7"/>
      <c r="F106" s="7"/>
      <c r="G106" s="7"/>
      <c r="H106" s="7"/>
      <c r="I106" s="7"/>
      <c r="J106" s="7"/>
      <c r="K106" s="7"/>
      <c r="L106" s="7"/>
      <c r="M106" s="7"/>
    </row>
    <row r="107" spans="2:13" x14ac:dyDescent="0.25">
      <c r="B107" s="7"/>
      <c r="C107" s="7"/>
      <c r="D107" s="7"/>
      <c r="E107" s="7"/>
      <c r="F107" s="7"/>
      <c r="G107" s="7"/>
      <c r="H107" s="7"/>
      <c r="I107" s="7"/>
      <c r="J107" s="7"/>
      <c r="K107" s="7"/>
      <c r="L107" s="7"/>
      <c r="M107" s="7"/>
    </row>
    <row r="108" spans="2:13" x14ac:dyDescent="0.25">
      <c r="B108" s="7"/>
      <c r="C108" s="7"/>
      <c r="D108" s="7"/>
      <c r="E108" s="7"/>
      <c r="F108" s="7"/>
      <c r="G108" s="7"/>
      <c r="H108" s="7"/>
      <c r="I108" s="7"/>
      <c r="J108" s="7"/>
      <c r="K108" s="7"/>
      <c r="L108" s="7"/>
      <c r="M108" s="7"/>
    </row>
    <row r="109" spans="2:13" x14ac:dyDescent="0.25">
      <c r="B109" s="7"/>
      <c r="C109" s="7"/>
      <c r="D109" s="7"/>
      <c r="E109" s="7"/>
      <c r="F109" s="7"/>
      <c r="G109" s="7"/>
      <c r="H109" s="7"/>
      <c r="I109" s="7"/>
      <c r="J109" s="7"/>
      <c r="K109" s="7"/>
      <c r="L109" s="7"/>
      <c r="M109" s="7"/>
    </row>
    <row r="110" spans="2:13" x14ac:dyDescent="0.25">
      <c r="B110" s="7"/>
      <c r="C110" s="7"/>
      <c r="D110" s="7"/>
      <c r="E110" s="7"/>
      <c r="F110" s="7"/>
      <c r="G110" s="7"/>
      <c r="H110" s="7"/>
      <c r="I110" s="7"/>
      <c r="J110" s="7"/>
      <c r="K110" s="7"/>
      <c r="L110" s="7"/>
      <c r="M110" s="7"/>
    </row>
    <row r="111" spans="2:13" x14ac:dyDescent="0.25">
      <c r="B111" s="7"/>
      <c r="C111" s="7"/>
      <c r="D111" s="7"/>
      <c r="E111" s="7"/>
      <c r="F111" s="7"/>
      <c r="G111" s="7"/>
      <c r="H111" s="7"/>
      <c r="I111" s="7"/>
      <c r="J111" s="7"/>
      <c r="K111" s="7"/>
      <c r="L111" s="7"/>
      <c r="M111" s="7"/>
    </row>
    <row r="112" spans="2:13" x14ac:dyDescent="0.25">
      <c r="B112" s="7"/>
      <c r="C112" s="7"/>
      <c r="D112" s="7"/>
      <c r="E112" s="7"/>
      <c r="F112" s="7"/>
      <c r="G112" s="7"/>
      <c r="H112" s="7"/>
      <c r="I112" s="7"/>
      <c r="J112" s="7"/>
      <c r="K112" s="7"/>
      <c r="L112" s="7"/>
      <c r="M112" s="7"/>
    </row>
    <row r="113" spans="2:13" x14ac:dyDescent="0.25">
      <c r="B113" s="7"/>
      <c r="C113" s="7"/>
      <c r="D113" s="7"/>
      <c r="E113" s="7"/>
      <c r="F113" s="7"/>
      <c r="G113" s="7"/>
      <c r="H113" s="7"/>
      <c r="I113" s="7"/>
      <c r="J113" s="7"/>
      <c r="K113" s="7"/>
      <c r="L113" s="7"/>
      <c r="M113" s="7"/>
    </row>
    <row r="114" spans="2:13" x14ac:dyDescent="0.25">
      <c r="B114" s="7"/>
      <c r="C114" s="7"/>
      <c r="D114" s="7"/>
      <c r="E114" s="7"/>
      <c r="F114" s="7"/>
      <c r="G114" s="7"/>
      <c r="H114" s="7"/>
      <c r="I114" s="7"/>
      <c r="J114" s="7"/>
      <c r="K114" s="7"/>
      <c r="L114" s="7"/>
      <c r="M114" s="7"/>
    </row>
    <row r="115" spans="2:13" x14ac:dyDescent="0.25">
      <c r="B115" s="7"/>
      <c r="C115" s="7"/>
      <c r="D115" s="7"/>
      <c r="E115" s="7"/>
      <c r="F115" s="7"/>
      <c r="G115" s="7"/>
      <c r="H115" s="7"/>
      <c r="I115" s="7"/>
      <c r="J115" s="7"/>
      <c r="K115" s="7"/>
      <c r="L115" s="7"/>
      <c r="M115" s="7"/>
    </row>
    <row r="116" spans="2:13" x14ac:dyDescent="0.25">
      <c r="B116" s="7"/>
      <c r="C116" s="7"/>
      <c r="D116" s="7"/>
      <c r="E116" s="7"/>
      <c r="F116" s="7"/>
      <c r="G116" s="7"/>
      <c r="H116" s="7"/>
      <c r="I116" s="7"/>
      <c r="J116" s="7"/>
      <c r="K116" s="7"/>
      <c r="L116" s="7"/>
      <c r="M116" s="7"/>
    </row>
    <row r="117" spans="2:13" x14ac:dyDescent="0.25">
      <c r="B117" s="7"/>
      <c r="C117" s="7"/>
      <c r="D117" s="7"/>
      <c r="E117" s="7"/>
      <c r="F117" s="7"/>
      <c r="G117" s="7"/>
      <c r="H117" s="7"/>
      <c r="I117" s="7"/>
      <c r="J117" s="7"/>
      <c r="K117" s="7"/>
      <c r="L117" s="7"/>
      <c r="M117" s="7"/>
    </row>
    <row r="118" spans="2:13" x14ac:dyDescent="0.25">
      <c r="B118" s="7"/>
      <c r="C118" s="7"/>
      <c r="D118" s="7"/>
      <c r="E118" s="7"/>
      <c r="F118" s="7"/>
      <c r="G118" s="7"/>
      <c r="H118" s="7"/>
      <c r="I118" s="7"/>
      <c r="J118" s="7"/>
      <c r="K118" s="7"/>
      <c r="L118" s="7"/>
      <c r="M118" s="7"/>
    </row>
    <row r="119" spans="2:13" x14ac:dyDescent="0.25">
      <c r="B119" s="7"/>
      <c r="C119" s="7"/>
      <c r="D119" s="7"/>
      <c r="E119" s="7"/>
      <c r="F119" s="7"/>
      <c r="G119" s="7"/>
      <c r="H119" s="7"/>
      <c r="I119" s="7"/>
      <c r="J119" s="7"/>
      <c r="K119" s="7"/>
      <c r="L119" s="7"/>
      <c r="M119" s="7"/>
    </row>
    <row r="120" spans="2:13" x14ac:dyDescent="0.25">
      <c r="B120" s="7"/>
      <c r="C120" s="7"/>
      <c r="D120" s="7"/>
      <c r="E120" s="7"/>
      <c r="F120" s="7"/>
      <c r="G120" s="7"/>
      <c r="H120" s="7"/>
      <c r="I120" s="7"/>
      <c r="J120" s="7"/>
      <c r="K120" s="7"/>
      <c r="L120" s="7"/>
      <c r="M120" s="7"/>
    </row>
    <row r="121" spans="2:13" x14ac:dyDescent="0.25">
      <c r="B121" s="7"/>
      <c r="C121" s="7"/>
      <c r="D121" s="7"/>
      <c r="E121" s="7"/>
      <c r="F121" s="7"/>
      <c r="G121" s="7"/>
      <c r="H121" s="7"/>
      <c r="I121" s="7"/>
      <c r="J121" s="7"/>
      <c r="K121" s="7"/>
      <c r="L121" s="7"/>
      <c r="M121" s="7"/>
    </row>
    <row r="122" spans="2:13" x14ac:dyDescent="0.25">
      <c r="B122" s="7"/>
      <c r="C122" s="7"/>
      <c r="D122" s="7"/>
      <c r="E122" s="7"/>
      <c r="F122" s="7"/>
      <c r="G122" s="7"/>
      <c r="H122" s="7"/>
      <c r="I122" s="7"/>
      <c r="J122" s="7"/>
      <c r="K122" s="7"/>
      <c r="L122" s="7"/>
      <c r="M122" s="7"/>
    </row>
    <row r="123" spans="2:13" x14ac:dyDescent="0.25">
      <c r="B123" s="7"/>
      <c r="C123" s="7"/>
      <c r="D123" s="7"/>
      <c r="E123" s="7"/>
      <c r="F123" s="7"/>
      <c r="G123" s="7"/>
      <c r="H123" s="7"/>
      <c r="I123" s="7"/>
      <c r="J123" s="7"/>
      <c r="K123" s="7"/>
      <c r="L123" s="7"/>
      <c r="M123" s="7"/>
    </row>
    <row r="124" spans="2:13" x14ac:dyDescent="0.25">
      <c r="B124" s="7"/>
      <c r="C124" s="7"/>
      <c r="D124" s="7"/>
      <c r="E124" s="7"/>
      <c r="F124" s="7"/>
      <c r="G124" s="7"/>
      <c r="H124" s="7"/>
      <c r="I124" s="7"/>
      <c r="J124" s="7"/>
      <c r="K124" s="7"/>
      <c r="L124" s="7"/>
      <c r="M124" s="7"/>
    </row>
    <row r="125" spans="2:13" x14ac:dyDescent="0.25">
      <c r="B125" s="7"/>
      <c r="C125" s="7"/>
      <c r="D125" s="7"/>
      <c r="E125" s="7"/>
      <c r="F125" s="7"/>
      <c r="G125" s="7"/>
      <c r="H125" s="7"/>
      <c r="I125" s="7"/>
      <c r="J125" s="7"/>
      <c r="K125" s="7"/>
      <c r="L125" s="7"/>
      <c r="M125" s="7"/>
    </row>
    <row r="126" spans="2:13" x14ac:dyDescent="0.25">
      <c r="B126" s="7"/>
      <c r="C126" s="7"/>
      <c r="D126" s="7"/>
      <c r="E126" s="7"/>
      <c r="F126" s="7"/>
      <c r="G126" s="7"/>
      <c r="H126" s="7"/>
      <c r="I126" s="7"/>
      <c r="J126" s="7"/>
      <c r="K126" s="7"/>
      <c r="L126" s="7"/>
      <c r="M126" s="7"/>
    </row>
    <row r="127" spans="2:13" x14ac:dyDescent="0.25">
      <c r="B127" s="7"/>
      <c r="C127" s="7"/>
      <c r="D127" s="7"/>
      <c r="E127" s="7"/>
      <c r="F127" s="7"/>
      <c r="G127" s="7"/>
      <c r="H127" s="7"/>
      <c r="I127" s="7"/>
      <c r="J127" s="7"/>
      <c r="K127" s="7"/>
      <c r="L127" s="7"/>
      <c r="M127" s="7"/>
    </row>
    <row r="128" spans="2:13" x14ac:dyDescent="0.25">
      <c r="B128" s="7"/>
      <c r="C128" s="7"/>
      <c r="D128" s="7"/>
      <c r="E128" s="7"/>
      <c r="F128" s="7"/>
      <c r="G128" s="7"/>
      <c r="H128" s="7"/>
      <c r="I128" s="7"/>
      <c r="J128" s="7"/>
      <c r="K128" s="7"/>
      <c r="L128" s="7"/>
      <c r="M128" s="7"/>
    </row>
    <row r="129" spans="2:13" x14ac:dyDescent="0.25">
      <c r="B129" s="7"/>
      <c r="C129" s="7"/>
      <c r="D129" s="7"/>
      <c r="E129" s="7"/>
      <c r="F129" s="7"/>
      <c r="G129" s="7"/>
      <c r="H129" s="7"/>
      <c r="I129" s="7"/>
      <c r="J129" s="7"/>
      <c r="K129" s="7"/>
      <c r="L129" s="7"/>
      <c r="M129" s="7"/>
    </row>
    <row r="130" spans="2:13" x14ac:dyDescent="0.25">
      <c r="B130" s="7"/>
      <c r="C130" s="7"/>
      <c r="D130" s="7"/>
      <c r="E130" s="7"/>
      <c r="F130" s="7"/>
      <c r="G130" s="7"/>
      <c r="H130" s="7"/>
      <c r="I130" s="7"/>
      <c r="J130" s="7"/>
      <c r="K130" s="7"/>
      <c r="L130" s="7"/>
      <c r="M130" s="7"/>
    </row>
    <row r="131" spans="2:13" x14ac:dyDescent="0.25">
      <c r="B131" s="7"/>
      <c r="C131" s="7"/>
      <c r="D131" s="7"/>
      <c r="E131" s="7"/>
      <c r="F131" s="7"/>
      <c r="G131" s="7"/>
      <c r="H131" s="7"/>
      <c r="I131" s="7"/>
      <c r="J131" s="7"/>
      <c r="K131" s="7"/>
      <c r="L131" s="7"/>
      <c r="M131" s="7"/>
    </row>
    <row r="132" spans="2:13" x14ac:dyDescent="0.25">
      <c r="B132" s="7"/>
      <c r="C132" s="7"/>
      <c r="D132" s="7"/>
      <c r="E132" s="7"/>
      <c r="F132" s="7"/>
      <c r="G132" s="7"/>
      <c r="H132" s="7"/>
      <c r="I132" s="7"/>
      <c r="J132" s="7"/>
      <c r="K132" s="7"/>
      <c r="L132" s="7"/>
      <c r="M132" s="7"/>
    </row>
    <row r="133" spans="2:13" x14ac:dyDescent="0.25">
      <c r="B133" s="7"/>
      <c r="C133" s="7"/>
      <c r="D133" s="7"/>
      <c r="E133" s="7"/>
      <c r="F133" s="7"/>
      <c r="G133" s="7"/>
      <c r="H133" s="7"/>
      <c r="I133" s="7"/>
      <c r="J133" s="7"/>
      <c r="K133" s="7"/>
      <c r="L133" s="7"/>
      <c r="M133" s="7"/>
    </row>
    <row r="134" spans="2:13" x14ac:dyDescent="0.25">
      <c r="B134" s="7"/>
      <c r="C134" s="7"/>
      <c r="D134" s="7"/>
      <c r="E134" s="7"/>
      <c r="F134" s="7"/>
      <c r="G134" s="7"/>
      <c r="H134" s="7"/>
      <c r="I134" s="7"/>
      <c r="J134" s="7"/>
      <c r="K134" s="7"/>
      <c r="L134" s="7"/>
      <c r="M134" s="7"/>
    </row>
    <row r="135" spans="2:13" x14ac:dyDescent="0.25">
      <c r="B135" s="7"/>
      <c r="C135" s="7"/>
      <c r="D135" s="7"/>
      <c r="E135" s="7"/>
      <c r="F135" s="7"/>
      <c r="G135" s="7"/>
      <c r="H135" s="7"/>
      <c r="I135" s="7"/>
      <c r="J135" s="7"/>
      <c r="K135" s="7"/>
      <c r="L135" s="7"/>
      <c r="M135" s="7"/>
    </row>
    <row r="136" spans="2:13" x14ac:dyDescent="0.25">
      <c r="B136" s="7"/>
      <c r="C136" s="7"/>
      <c r="D136" s="7"/>
      <c r="E136" s="7"/>
      <c r="F136" s="7"/>
      <c r="G136" s="7"/>
      <c r="H136" s="7"/>
      <c r="I136" s="7"/>
      <c r="J136" s="7"/>
      <c r="K136" s="7"/>
      <c r="L136" s="7"/>
      <c r="M136" s="7"/>
    </row>
    <row r="137" spans="2:13" x14ac:dyDescent="0.25">
      <c r="B137" s="7"/>
      <c r="C137" s="7"/>
      <c r="D137" s="7"/>
      <c r="E137" s="7"/>
      <c r="F137" s="7"/>
      <c r="G137" s="7"/>
      <c r="H137" s="7"/>
      <c r="I137" s="7"/>
      <c r="J137" s="7"/>
      <c r="K137" s="7"/>
      <c r="L137" s="7"/>
      <c r="M137" s="7"/>
    </row>
    <row r="138" spans="2:13" x14ac:dyDescent="0.25">
      <c r="B138" s="7"/>
      <c r="C138" s="7"/>
      <c r="D138" s="7"/>
      <c r="E138" s="7"/>
      <c r="F138" s="7"/>
      <c r="G138" s="7"/>
      <c r="H138" s="7"/>
      <c r="I138" s="7"/>
      <c r="J138" s="7"/>
      <c r="K138" s="7"/>
      <c r="L138" s="7"/>
      <c r="M138" s="7"/>
    </row>
    <row r="139" spans="2:13" x14ac:dyDescent="0.25">
      <c r="B139" s="7"/>
      <c r="C139" s="7"/>
      <c r="D139" s="7"/>
      <c r="E139" s="7"/>
      <c r="F139" s="7"/>
      <c r="G139" s="7"/>
      <c r="H139" s="7"/>
      <c r="I139" s="7"/>
      <c r="J139" s="7"/>
      <c r="K139" s="7"/>
      <c r="L139" s="7"/>
      <c r="M139" s="7"/>
    </row>
    <row r="140" spans="2:13" x14ac:dyDescent="0.25">
      <c r="B140" s="7"/>
      <c r="C140" s="7"/>
      <c r="D140" s="7"/>
      <c r="E140" s="7"/>
      <c r="F140" s="7"/>
      <c r="G140" s="7"/>
      <c r="H140" s="7"/>
      <c r="I140" s="7"/>
      <c r="J140" s="7"/>
      <c r="K140" s="7"/>
      <c r="L140" s="7"/>
      <c r="M140" s="7"/>
    </row>
    <row r="141" spans="2:13" x14ac:dyDescent="0.25">
      <c r="B141" s="7"/>
      <c r="C141" s="7"/>
      <c r="D141" s="7"/>
      <c r="E141" s="7"/>
      <c r="F141" s="7"/>
      <c r="G141" s="7"/>
      <c r="H141" s="7"/>
      <c r="I141" s="7"/>
      <c r="J141" s="7"/>
      <c r="K141" s="7"/>
      <c r="L141" s="7"/>
      <c r="M141" s="7"/>
    </row>
    <row r="142" spans="2:13" x14ac:dyDescent="0.25">
      <c r="B142" s="7"/>
      <c r="C142" s="7"/>
      <c r="D142" s="7"/>
      <c r="E142" s="7"/>
      <c r="F142" s="7"/>
      <c r="G142" s="7"/>
      <c r="H142" s="7"/>
      <c r="I142" s="7"/>
      <c r="J142" s="7"/>
      <c r="K142" s="7"/>
      <c r="L142" s="7"/>
      <c r="M142" s="7"/>
    </row>
    <row r="143" spans="2:13" x14ac:dyDescent="0.25">
      <c r="B143" s="7"/>
      <c r="C143" s="7"/>
      <c r="D143" s="7"/>
      <c r="E143" s="7"/>
      <c r="F143" s="7"/>
      <c r="G143" s="7"/>
      <c r="H143" s="7"/>
      <c r="I143" s="7"/>
      <c r="J143" s="7"/>
      <c r="K143" s="7"/>
      <c r="L143" s="7"/>
      <c r="M143" s="7"/>
    </row>
    <row r="144" spans="2:13" x14ac:dyDescent="0.25">
      <c r="B144" s="7"/>
      <c r="C144" s="7"/>
      <c r="D144" s="7"/>
      <c r="E144" s="7"/>
      <c r="F144" s="7"/>
      <c r="G144" s="7"/>
      <c r="H144" s="7"/>
      <c r="I144" s="7"/>
      <c r="J144" s="7"/>
      <c r="K144" s="7"/>
      <c r="L144" s="7"/>
      <c r="M144" s="7"/>
    </row>
    <row r="145" spans="2:13" x14ac:dyDescent="0.25">
      <c r="B145" s="7"/>
      <c r="C145" s="7"/>
      <c r="D145" s="7"/>
      <c r="E145" s="7"/>
      <c r="F145" s="7"/>
      <c r="G145" s="7"/>
      <c r="H145" s="7"/>
      <c r="I145" s="7"/>
      <c r="J145" s="7"/>
      <c r="K145" s="7"/>
      <c r="L145" s="7"/>
      <c r="M145" s="7"/>
    </row>
    <row r="146" spans="2:13" x14ac:dyDescent="0.25">
      <c r="B146" s="7"/>
      <c r="C146" s="7"/>
      <c r="D146" s="7"/>
      <c r="E146" s="7"/>
      <c r="F146" s="7"/>
      <c r="G146" s="7"/>
      <c r="H146" s="7"/>
      <c r="I146" s="7"/>
      <c r="J146" s="7"/>
      <c r="K146" s="7"/>
      <c r="L146" s="7"/>
      <c r="M146" s="7"/>
    </row>
    <row r="147" spans="2:13" x14ac:dyDescent="0.25">
      <c r="B147" s="7"/>
      <c r="C147" s="7"/>
      <c r="D147" s="7"/>
      <c r="E147" s="7"/>
      <c r="F147" s="7"/>
      <c r="G147" s="7"/>
      <c r="H147" s="7"/>
      <c r="I147" s="7"/>
      <c r="J147" s="7"/>
      <c r="K147" s="7"/>
      <c r="L147" s="7"/>
      <c r="M147" s="7"/>
    </row>
    <row r="148" spans="2:13" x14ac:dyDescent="0.25">
      <c r="B148" s="7"/>
      <c r="C148" s="7"/>
      <c r="D148" s="7"/>
      <c r="E148" s="7"/>
      <c r="F148" s="7"/>
      <c r="G148" s="7"/>
      <c r="H148" s="7"/>
      <c r="I148" s="7"/>
      <c r="J148" s="7"/>
      <c r="K148" s="7"/>
      <c r="L148" s="7"/>
      <c r="M148" s="7"/>
    </row>
    <row r="149" spans="2:13" x14ac:dyDescent="0.25">
      <c r="B149" s="7"/>
      <c r="C149" s="7"/>
      <c r="D149" s="7"/>
      <c r="E149" s="7"/>
      <c r="F149" s="7"/>
      <c r="G149" s="7"/>
      <c r="H149" s="7"/>
      <c r="I149" s="7"/>
      <c r="J149" s="7"/>
      <c r="K149" s="7"/>
      <c r="L149" s="7"/>
      <c r="M149" s="7"/>
    </row>
    <row r="150" spans="2:13" x14ac:dyDescent="0.25">
      <c r="B150" s="7"/>
      <c r="C150" s="7"/>
      <c r="D150" s="7"/>
      <c r="E150" s="7"/>
      <c r="F150" s="7"/>
      <c r="G150" s="7"/>
      <c r="H150" s="7"/>
      <c r="I150" s="7"/>
      <c r="J150" s="7"/>
      <c r="K150" s="7"/>
      <c r="L150" s="7"/>
      <c r="M150" s="7"/>
    </row>
    <row r="151" spans="2:13" x14ac:dyDescent="0.25">
      <c r="B151" s="7"/>
      <c r="C151" s="7"/>
      <c r="D151" s="7"/>
      <c r="E151" s="7"/>
      <c r="F151" s="7"/>
      <c r="G151" s="7"/>
      <c r="H151" s="7"/>
      <c r="I151" s="7"/>
      <c r="J151" s="7"/>
      <c r="K151" s="7"/>
      <c r="L151" s="7"/>
      <c r="M151" s="7"/>
    </row>
    <row r="152" spans="2:13" x14ac:dyDescent="0.25">
      <c r="B152" s="7"/>
      <c r="C152" s="7"/>
      <c r="D152" s="7"/>
      <c r="E152" s="7"/>
      <c r="F152" s="7"/>
      <c r="G152" s="7"/>
      <c r="H152" s="7"/>
      <c r="I152" s="7"/>
      <c r="J152" s="7"/>
      <c r="K152" s="7"/>
      <c r="L152" s="7"/>
      <c r="M152" s="7"/>
    </row>
    <row r="153" spans="2:13" x14ac:dyDescent="0.25">
      <c r="B153" s="7"/>
      <c r="C153" s="7"/>
      <c r="D153" s="7"/>
      <c r="E153" s="7"/>
      <c r="F153" s="7"/>
      <c r="G153" s="7"/>
      <c r="H153" s="7"/>
      <c r="I153" s="7"/>
      <c r="J153" s="7"/>
      <c r="K153" s="7"/>
      <c r="L153" s="7"/>
      <c r="M153" s="7"/>
    </row>
    <row r="154" spans="2:13" x14ac:dyDescent="0.25">
      <c r="B154" s="7"/>
      <c r="C154" s="7"/>
      <c r="D154" s="7"/>
      <c r="E154" s="7"/>
      <c r="F154" s="7"/>
      <c r="G154" s="7"/>
      <c r="H154" s="7"/>
      <c r="I154" s="7"/>
      <c r="J154" s="7"/>
      <c r="K154" s="7"/>
      <c r="L154" s="7"/>
      <c r="M154" s="7"/>
    </row>
    <row r="155" spans="2:13" x14ac:dyDescent="0.25">
      <c r="B155" s="7"/>
      <c r="C155" s="7"/>
      <c r="D155" s="7"/>
      <c r="E155" s="7"/>
      <c r="F155" s="7"/>
      <c r="G155" s="7"/>
      <c r="H155" s="7"/>
      <c r="I155" s="7"/>
      <c r="J155" s="7"/>
      <c r="K155" s="7"/>
      <c r="L155" s="7"/>
      <c r="M155" s="7"/>
    </row>
    <row r="156" spans="2:13" x14ac:dyDescent="0.25">
      <c r="B156" s="7"/>
      <c r="C156" s="7"/>
      <c r="D156" s="7"/>
      <c r="E156" s="7"/>
      <c r="F156" s="7"/>
      <c r="G156" s="7"/>
      <c r="H156" s="7"/>
      <c r="I156" s="7"/>
      <c r="J156" s="7"/>
      <c r="K156" s="7"/>
      <c r="L156" s="7"/>
      <c r="M156" s="7"/>
    </row>
    <row r="157" spans="2:13" x14ac:dyDescent="0.25">
      <c r="B157" s="7"/>
      <c r="C157" s="7"/>
      <c r="D157" s="7"/>
      <c r="E157" s="7"/>
      <c r="F157" s="7"/>
      <c r="G157" s="7"/>
      <c r="H157" s="7"/>
      <c r="I157" s="7"/>
      <c r="J157" s="7"/>
      <c r="K157" s="7"/>
      <c r="L157" s="7"/>
      <c r="M157" s="7"/>
    </row>
    <row r="158" spans="2:13" x14ac:dyDescent="0.25">
      <c r="B158" s="7"/>
      <c r="C158" s="7"/>
      <c r="D158" s="7"/>
      <c r="E158" s="7"/>
      <c r="F158" s="7"/>
      <c r="G158" s="7"/>
      <c r="H158" s="7"/>
      <c r="I158" s="7"/>
      <c r="J158" s="7"/>
      <c r="K158" s="7"/>
      <c r="L158" s="7"/>
      <c r="M158" s="7"/>
    </row>
    <row r="159" spans="2:13" x14ac:dyDescent="0.25">
      <c r="B159" s="7"/>
      <c r="C159" s="7"/>
      <c r="D159" s="7"/>
      <c r="E159" s="7"/>
      <c r="F159" s="7"/>
      <c r="G159" s="7"/>
      <c r="H159" s="7"/>
      <c r="I159" s="7"/>
      <c r="J159" s="7"/>
      <c r="K159" s="7"/>
      <c r="L159" s="7"/>
      <c r="M159" s="7"/>
    </row>
    <row r="160" spans="2:13" x14ac:dyDescent="0.25">
      <c r="B160" s="7"/>
      <c r="C160" s="7"/>
      <c r="D160" s="7"/>
      <c r="E160" s="7"/>
      <c r="F160" s="7"/>
      <c r="G160" s="7"/>
      <c r="H160" s="7"/>
      <c r="I160" s="7"/>
      <c r="J160" s="7"/>
      <c r="K160" s="7"/>
      <c r="L160" s="7"/>
      <c r="M160" s="7"/>
    </row>
    <row r="161" spans="2:13" x14ac:dyDescent="0.25">
      <c r="B161" s="7"/>
      <c r="C161" s="7"/>
      <c r="D161" s="7"/>
      <c r="E161" s="7"/>
      <c r="F161" s="7"/>
      <c r="G161" s="7"/>
      <c r="H161" s="7"/>
      <c r="I161" s="7"/>
      <c r="J161" s="7"/>
      <c r="K161" s="7"/>
      <c r="L161" s="7"/>
      <c r="M161" s="7"/>
    </row>
    <row r="162" spans="2:13" x14ac:dyDescent="0.25">
      <c r="B162" s="7"/>
      <c r="C162" s="7"/>
      <c r="D162" s="7"/>
      <c r="E162" s="7"/>
      <c r="F162" s="7"/>
      <c r="G162" s="7"/>
      <c r="H162" s="7"/>
      <c r="I162" s="7"/>
      <c r="J162" s="7"/>
      <c r="K162" s="7"/>
      <c r="L162" s="7"/>
      <c r="M162" s="7"/>
    </row>
    <row r="163" spans="2:13" x14ac:dyDescent="0.25">
      <c r="B163" s="7"/>
      <c r="C163" s="7"/>
      <c r="D163" s="7"/>
      <c r="E163" s="7"/>
      <c r="F163" s="7"/>
      <c r="G163" s="7"/>
      <c r="H163" s="7"/>
      <c r="I163" s="7"/>
      <c r="J163" s="7"/>
      <c r="K163" s="7"/>
      <c r="L163" s="7"/>
      <c r="M163" s="7"/>
    </row>
    <row r="164" spans="2:13" x14ac:dyDescent="0.25">
      <c r="B164" s="7"/>
      <c r="C164" s="7"/>
      <c r="D164" s="7"/>
      <c r="E164" s="7"/>
      <c r="F164" s="7"/>
      <c r="G164" s="7"/>
      <c r="H164" s="7"/>
      <c r="I164" s="7"/>
      <c r="J164" s="7"/>
      <c r="K164" s="7"/>
      <c r="L164" s="7"/>
      <c r="M164" s="7"/>
    </row>
    <row r="165" spans="2:13" x14ac:dyDescent="0.25">
      <c r="B165" s="7"/>
      <c r="C165" s="7"/>
      <c r="D165" s="7"/>
      <c r="E165" s="7"/>
      <c r="F165" s="7"/>
      <c r="G165" s="7"/>
      <c r="H165" s="7"/>
      <c r="I165" s="7"/>
      <c r="J165" s="7"/>
      <c r="K165" s="7"/>
      <c r="L165" s="7"/>
      <c r="M165" s="7"/>
    </row>
    <row r="166" spans="2:13" x14ac:dyDescent="0.25">
      <c r="B166" s="7"/>
      <c r="C166" s="7"/>
      <c r="D166" s="7"/>
      <c r="E166" s="7"/>
      <c r="F166" s="7"/>
      <c r="G166" s="7"/>
      <c r="H166" s="7"/>
      <c r="I166" s="7"/>
      <c r="J166" s="7"/>
      <c r="K166" s="7"/>
      <c r="L166" s="7"/>
      <c r="M166" s="7"/>
    </row>
    <row r="167" spans="2:13" x14ac:dyDescent="0.25">
      <c r="B167" s="7"/>
      <c r="C167" s="7"/>
      <c r="D167" s="7"/>
      <c r="E167" s="7"/>
      <c r="F167" s="7"/>
      <c r="G167" s="7"/>
      <c r="H167" s="7"/>
      <c r="I167" s="7"/>
      <c r="J167" s="7"/>
      <c r="K167" s="7"/>
      <c r="L167" s="7"/>
      <c r="M167" s="7"/>
    </row>
    <row r="168" spans="2:13" x14ac:dyDescent="0.25">
      <c r="B168" s="7"/>
      <c r="C168" s="7"/>
      <c r="D168" s="7"/>
      <c r="E168" s="7"/>
      <c r="F168" s="7"/>
      <c r="G168" s="7"/>
      <c r="H168" s="7"/>
      <c r="I168" s="7"/>
      <c r="J168" s="7"/>
      <c r="K168" s="7"/>
      <c r="L168" s="7"/>
      <c r="M168" s="7"/>
    </row>
    <row r="169" spans="2:13" x14ac:dyDescent="0.25">
      <c r="B169" s="7"/>
      <c r="C169" s="7"/>
      <c r="D169" s="7"/>
      <c r="E169" s="7"/>
      <c r="F169" s="7"/>
      <c r="G169" s="7"/>
      <c r="H169" s="7"/>
      <c r="I169" s="7"/>
      <c r="J169" s="7"/>
      <c r="K169" s="7"/>
      <c r="L169" s="7"/>
      <c r="M169" s="7"/>
    </row>
    <row r="170" spans="2:13" x14ac:dyDescent="0.25">
      <c r="B170" s="7"/>
      <c r="C170" s="7"/>
      <c r="D170" s="7"/>
      <c r="E170" s="7"/>
      <c r="F170" s="7"/>
      <c r="G170" s="7"/>
      <c r="H170" s="7"/>
      <c r="I170" s="7"/>
      <c r="J170" s="7"/>
      <c r="K170" s="7"/>
      <c r="L170" s="7"/>
      <c r="M170" s="7"/>
    </row>
    <row r="171" spans="2:13" x14ac:dyDescent="0.25">
      <c r="B171" s="7"/>
      <c r="C171" s="7"/>
      <c r="D171" s="7"/>
      <c r="E171" s="7"/>
      <c r="F171" s="7"/>
      <c r="G171" s="7"/>
      <c r="H171" s="7"/>
      <c r="I171" s="7"/>
      <c r="J171" s="7"/>
      <c r="K171" s="7"/>
      <c r="L171" s="7"/>
      <c r="M171" s="7"/>
    </row>
    <row r="172" spans="2:13" x14ac:dyDescent="0.25">
      <c r="B172" s="7"/>
      <c r="C172" s="7"/>
      <c r="D172" s="7"/>
      <c r="E172" s="7"/>
      <c r="F172" s="7"/>
      <c r="G172" s="7"/>
      <c r="H172" s="7"/>
      <c r="I172" s="7"/>
      <c r="J172" s="7"/>
      <c r="K172" s="7"/>
      <c r="L172" s="7"/>
      <c r="M172" s="7"/>
    </row>
    <row r="173" spans="2:13" x14ac:dyDescent="0.25">
      <c r="B173" s="7"/>
      <c r="C173" s="7"/>
      <c r="D173" s="7"/>
      <c r="E173" s="7"/>
      <c r="F173" s="7"/>
      <c r="G173" s="7"/>
      <c r="H173" s="7"/>
      <c r="I173" s="7"/>
      <c r="J173" s="7"/>
      <c r="K173" s="7"/>
      <c r="L173" s="7"/>
      <c r="M173" s="7"/>
    </row>
    <row r="174" spans="2:13" x14ac:dyDescent="0.25">
      <c r="B174" s="7"/>
      <c r="C174" s="7"/>
      <c r="D174" s="7"/>
      <c r="E174" s="7"/>
      <c r="F174" s="7"/>
      <c r="G174" s="7"/>
      <c r="H174" s="7"/>
      <c r="I174" s="7"/>
      <c r="J174" s="7"/>
      <c r="K174" s="7"/>
      <c r="L174" s="7"/>
      <c r="M174" s="7"/>
    </row>
    <row r="175" spans="2:13" x14ac:dyDescent="0.25">
      <c r="B175" s="7"/>
      <c r="C175" s="7"/>
      <c r="D175" s="7"/>
      <c r="E175" s="7"/>
      <c r="F175" s="7"/>
      <c r="G175" s="7"/>
      <c r="H175" s="7"/>
      <c r="I175" s="7"/>
      <c r="J175" s="7"/>
      <c r="K175" s="7"/>
      <c r="L175" s="7"/>
      <c r="M175" s="7"/>
    </row>
    <row r="176" spans="2:13" x14ac:dyDescent="0.25">
      <c r="B176" s="7"/>
      <c r="C176" s="7"/>
      <c r="D176" s="7"/>
      <c r="E176" s="7"/>
      <c r="F176" s="7"/>
      <c r="G176" s="7"/>
      <c r="H176" s="7"/>
      <c r="I176" s="7"/>
      <c r="J176" s="7"/>
      <c r="K176" s="7"/>
      <c r="L176" s="7"/>
      <c r="M176" s="7"/>
    </row>
    <row r="177" spans="2:13" x14ac:dyDescent="0.25">
      <c r="B177" s="7"/>
      <c r="C177" s="7"/>
      <c r="D177" s="7"/>
      <c r="E177" s="7"/>
      <c r="F177" s="7"/>
      <c r="G177" s="7"/>
      <c r="H177" s="7"/>
      <c r="I177" s="7"/>
      <c r="J177" s="7"/>
      <c r="K177" s="7"/>
      <c r="L177" s="7"/>
      <c r="M177" s="7"/>
    </row>
    <row r="178" spans="2:13" x14ac:dyDescent="0.25">
      <c r="B178" s="7"/>
      <c r="C178" s="7"/>
      <c r="D178" s="7"/>
      <c r="E178" s="7"/>
      <c r="F178" s="7"/>
      <c r="G178" s="7"/>
      <c r="H178" s="7"/>
      <c r="I178" s="7"/>
      <c r="J178" s="7"/>
      <c r="K178" s="7"/>
      <c r="L178" s="7"/>
      <c r="M178" s="7"/>
    </row>
    <row r="179" spans="2:13" x14ac:dyDescent="0.25">
      <c r="B179" s="7"/>
      <c r="C179" s="7"/>
      <c r="D179" s="7"/>
      <c r="E179" s="7"/>
      <c r="F179" s="7"/>
      <c r="G179" s="7"/>
      <c r="H179" s="7"/>
      <c r="I179" s="7"/>
      <c r="J179" s="7"/>
      <c r="K179" s="7"/>
      <c r="L179" s="7"/>
      <c r="M179" s="7"/>
    </row>
    <row r="180" spans="2:13" x14ac:dyDescent="0.25">
      <c r="B180" s="7"/>
      <c r="C180" s="7"/>
      <c r="D180" s="7"/>
      <c r="E180" s="7"/>
      <c r="F180" s="7"/>
      <c r="G180" s="7"/>
      <c r="H180" s="7"/>
      <c r="I180" s="7"/>
      <c r="J180" s="7"/>
      <c r="K180" s="7"/>
      <c r="L180" s="7"/>
      <c r="M180" s="7"/>
    </row>
    <row r="181" spans="2:13" x14ac:dyDescent="0.25">
      <c r="B181" s="7"/>
      <c r="C181" s="7"/>
      <c r="D181" s="7"/>
      <c r="E181" s="7"/>
      <c r="F181" s="7"/>
      <c r="G181" s="7"/>
      <c r="H181" s="7"/>
      <c r="I181" s="7"/>
      <c r="J181" s="7"/>
      <c r="K181" s="7"/>
      <c r="L181" s="7"/>
      <c r="M181" s="7"/>
    </row>
    <row r="182" spans="2:13" x14ac:dyDescent="0.25">
      <c r="B182" s="7"/>
      <c r="C182" s="7"/>
      <c r="D182" s="7"/>
      <c r="E182" s="7"/>
      <c r="F182" s="7"/>
      <c r="G182" s="7"/>
      <c r="H182" s="7"/>
      <c r="I182" s="7"/>
      <c r="J182" s="7"/>
      <c r="K182" s="7"/>
      <c r="L182" s="7"/>
      <c r="M182" s="7"/>
    </row>
    <row r="183" spans="2:13" x14ac:dyDescent="0.25">
      <c r="B183" s="7"/>
      <c r="C183" s="7"/>
      <c r="D183" s="7"/>
      <c r="E183" s="7"/>
      <c r="F183" s="7"/>
      <c r="G183" s="7"/>
      <c r="H183" s="7"/>
      <c r="I183" s="7"/>
      <c r="J183" s="7"/>
      <c r="K183" s="7"/>
      <c r="L183" s="7"/>
      <c r="M183" s="7"/>
    </row>
    <row r="184" spans="2:13" x14ac:dyDescent="0.25">
      <c r="B184" s="7"/>
      <c r="C184" s="7"/>
      <c r="D184" s="7"/>
      <c r="E184" s="7"/>
      <c r="F184" s="7"/>
      <c r="G184" s="7"/>
      <c r="H184" s="7"/>
      <c r="I184" s="7"/>
      <c r="J184" s="7"/>
      <c r="K184" s="7"/>
      <c r="L184" s="7"/>
      <c r="M184" s="7"/>
    </row>
    <row r="185" spans="2:13" x14ac:dyDescent="0.25">
      <c r="B185" s="7"/>
      <c r="C185" s="7"/>
      <c r="D185" s="7"/>
      <c r="E185" s="7"/>
      <c r="F185" s="7"/>
      <c r="G185" s="7"/>
      <c r="H185" s="7"/>
      <c r="I185" s="7"/>
      <c r="J185" s="7"/>
      <c r="K185" s="7"/>
      <c r="L185" s="7"/>
      <c r="M185" s="7"/>
    </row>
    <row r="186" spans="2:13" x14ac:dyDescent="0.25">
      <c r="B186" s="7"/>
      <c r="C186" s="7"/>
      <c r="D186" s="7"/>
      <c r="E186" s="7"/>
      <c r="F186" s="7"/>
      <c r="G186" s="7"/>
      <c r="H186" s="7"/>
      <c r="I186" s="7"/>
      <c r="J186" s="7"/>
      <c r="K186" s="7"/>
      <c r="L186" s="7"/>
      <c r="M186" s="7"/>
    </row>
    <row r="187" spans="2:13" x14ac:dyDescent="0.25">
      <c r="B187" s="7"/>
      <c r="C187" s="7"/>
      <c r="D187" s="7"/>
      <c r="E187" s="7"/>
      <c r="F187" s="7"/>
      <c r="G187" s="7"/>
      <c r="H187" s="7"/>
      <c r="I187" s="7"/>
      <c r="J187" s="7"/>
      <c r="K187" s="7"/>
      <c r="L187" s="7"/>
      <c r="M187" s="7"/>
    </row>
    <row r="188" spans="2:13" x14ac:dyDescent="0.25">
      <c r="B188" s="7"/>
      <c r="C188" s="7"/>
      <c r="D188" s="7"/>
      <c r="E188" s="7"/>
      <c r="F188" s="7"/>
      <c r="G188" s="7"/>
      <c r="H188" s="7"/>
      <c r="I188" s="7"/>
      <c r="J188" s="7"/>
      <c r="K188" s="7"/>
      <c r="L188" s="7"/>
      <c r="M188" s="7"/>
    </row>
    <row r="189" spans="2:13" x14ac:dyDescent="0.25">
      <c r="B189" s="7"/>
      <c r="C189" s="7"/>
      <c r="D189" s="7"/>
      <c r="E189" s="7"/>
      <c r="F189" s="7"/>
      <c r="G189" s="7"/>
      <c r="H189" s="7"/>
      <c r="I189" s="7"/>
      <c r="J189" s="7"/>
      <c r="K189" s="7"/>
      <c r="L189" s="7"/>
      <c r="M189" s="7"/>
    </row>
    <row r="190" spans="2:13" x14ac:dyDescent="0.25">
      <c r="B190" s="7"/>
      <c r="C190" s="7"/>
      <c r="D190" s="7"/>
      <c r="E190" s="7"/>
      <c r="F190" s="7"/>
      <c r="G190" s="7"/>
      <c r="H190" s="7"/>
      <c r="I190" s="7"/>
      <c r="J190" s="7"/>
      <c r="K190" s="7"/>
      <c r="L190" s="7"/>
      <c r="M190" s="7"/>
    </row>
    <row r="191" spans="2:13" x14ac:dyDescent="0.25">
      <c r="B191" s="7"/>
      <c r="C191" s="7"/>
      <c r="D191" s="7"/>
      <c r="E191" s="7"/>
      <c r="F191" s="7"/>
      <c r="G191" s="7"/>
      <c r="H191" s="7"/>
      <c r="I191" s="7"/>
      <c r="J191" s="7"/>
      <c r="K191" s="7"/>
      <c r="L191" s="7"/>
      <c r="M191" s="7"/>
    </row>
    <row r="192" spans="2:13" x14ac:dyDescent="0.25">
      <c r="B192" s="7"/>
      <c r="C192" s="7"/>
      <c r="D192" s="7"/>
      <c r="E192" s="7"/>
      <c r="F192" s="7"/>
      <c r="G192" s="7"/>
      <c r="H192" s="7"/>
      <c r="I192" s="7"/>
      <c r="J192" s="7"/>
      <c r="K192" s="7"/>
      <c r="L192" s="7"/>
      <c r="M192" s="7"/>
    </row>
    <row r="193" spans="2:13" x14ac:dyDescent="0.25">
      <c r="B193" s="7"/>
      <c r="C193" s="7"/>
      <c r="D193" s="7"/>
      <c r="E193" s="7"/>
      <c r="F193" s="7"/>
      <c r="G193" s="7"/>
      <c r="H193" s="7"/>
      <c r="I193" s="7"/>
      <c r="J193" s="7"/>
      <c r="K193" s="7"/>
      <c r="L193" s="7"/>
      <c r="M193" s="7"/>
    </row>
    <row r="194" spans="2:13" x14ac:dyDescent="0.25">
      <c r="B194" s="7"/>
      <c r="C194" s="7"/>
      <c r="D194" s="7"/>
      <c r="E194" s="7"/>
      <c r="F194" s="7"/>
      <c r="G194" s="7"/>
      <c r="H194" s="7"/>
      <c r="I194" s="7"/>
      <c r="J194" s="7"/>
      <c r="K194" s="7"/>
      <c r="L194" s="7"/>
      <c r="M194" s="7"/>
    </row>
    <row r="195" spans="2:13" x14ac:dyDescent="0.25">
      <c r="B195" s="7"/>
      <c r="C195" s="7"/>
      <c r="D195" s="7"/>
      <c r="E195" s="7"/>
      <c r="F195" s="7"/>
      <c r="G195" s="7"/>
      <c r="H195" s="7"/>
      <c r="I195" s="7"/>
      <c r="J195" s="7"/>
      <c r="K195" s="7"/>
      <c r="L195" s="7"/>
      <c r="M195" s="7"/>
    </row>
    <row r="196" spans="2:13" x14ac:dyDescent="0.25">
      <c r="B196" s="7"/>
      <c r="C196" s="7"/>
      <c r="D196" s="7"/>
      <c r="E196" s="7"/>
      <c r="F196" s="7"/>
      <c r="G196" s="7"/>
      <c r="H196" s="7"/>
      <c r="I196" s="7"/>
      <c r="J196" s="7"/>
      <c r="K196" s="7"/>
      <c r="L196" s="7"/>
      <c r="M196" s="7"/>
    </row>
    <row r="197" spans="2:13" x14ac:dyDescent="0.25">
      <c r="B197" s="7"/>
      <c r="C197" s="7"/>
      <c r="D197" s="7"/>
      <c r="E197" s="7"/>
      <c r="F197" s="7"/>
      <c r="G197" s="7"/>
      <c r="H197" s="7"/>
      <c r="I197" s="7"/>
      <c r="J197" s="7"/>
      <c r="K197" s="7"/>
      <c r="L197" s="7"/>
      <c r="M197" s="7"/>
    </row>
    <row r="198" spans="2:13" x14ac:dyDescent="0.25">
      <c r="B198" s="7"/>
      <c r="C198" s="7"/>
      <c r="D198" s="7"/>
      <c r="E198" s="7"/>
      <c r="F198" s="7"/>
      <c r="G198" s="7"/>
      <c r="H198" s="7"/>
      <c r="I198" s="7"/>
      <c r="J198" s="7"/>
      <c r="K198" s="7"/>
      <c r="L198" s="7"/>
      <c r="M198" s="7"/>
    </row>
    <row r="199" spans="2:13" x14ac:dyDescent="0.25">
      <c r="B199" s="7"/>
      <c r="C199" s="7"/>
      <c r="D199" s="7"/>
      <c r="E199" s="7"/>
      <c r="F199" s="7"/>
      <c r="G199" s="7"/>
      <c r="H199" s="7"/>
      <c r="I199" s="7"/>
      <c r="J199" s="7"/>
      <c r="K199" s="7"/>
      <c r="L199" s="7"/>
      <c r="M199" s="7"/>
    </row>
    <row r="200" spans="2:13" x14ac:dyDescent="0.25">
      <c r="B200" s="7"/>
      <c r="C200" s="7"/>
      <c r="D200" s="7"/>
      <c r="E200" s="7"/>
      <c r="F200" s="7"/>
      <c r="G200" s="7"/>
      <c r="H200" s="7"/>
      <c r="I200" s="7"/>
      <c r="J200" s="7"/>
      <c r="K200" s="7"/>
      <c r="L200" s="7"/>
      <c r="M200" s="7"/>
    </row>
    <row r="201" spans="2:13" x14ac:dyDescent="0.25">
      <c r="B201" s="7"/>
      <c r="C201" s="7"/>
      <c r="D201" s="7"/>
      <c r="E201" s="7"/>
      <c r="F201" s="7"/>
      <c r="G201" s="7"/>
      <c r="H201" s="7"/>
      <c r="I201" s="7"/>
      <c r="J201" s="7"/>
      <c r="K201" s="7"/>
      <c r="L201" s="7"/>
      <c r="M201" s="7"/>
    </row>
    <row r="202" spans="2:13" x14ac:dyDescent="0.25">
      <c r="B202" s="7"/>
      <c r="C202" s="7"/>
      <c r="D202" s="7"/>
      <c r="E202" s="7"/>
      <c r="F202" s="7"/>
      <c r="G202" s="7"/>
      <c r="H202" s="7"/>
      <c r="I202" s="7"/>
      <c r="J202" s="7"/>
      <c r="K202" s="7"/>
      <c r="L202" s="7"/>
      <c r="M202" s="7"/>
    </row>
    <row r="203" spans="2:13" x14ac:dyDescent="0.25">
      <c r="B203" s="7"/>
      <c r="C203" s="7"/>
      <c r="D203" s="7"/>
      <c r="E203" s="7"/>
      <c r="F203" s="7"/>
      <c r="G203" s="7"/>
      <c r="H203" s="7"/>
      <c r="I203" s="7"/>
      <c r="J203" s="7"/>
      <c r="K203" s="7"/>
      <c r="L203" s="7"/>
      <c r="M203" s="7"/>
    </row>
    <row r="204" spans="2:13" x14ac:dyDescent="0.25">
      <c r="B204" s="7"/>
      <c r="C204" s="7"/>
      <c r="D204" s="7"/>
      <c r="E204" s="7"/>
      <c r="F204" s="7"/>
      <c r="G204" s="7"/>
      <c r="H204" s="7"/>
      <c r="I204" s="7"/>
      <c r="J204" s="7"/>
      <c r="K204" s="7"/>
      <c r="L204" s="7"/>
      <c r="M204" s="7"/>
    </row>
    <row r="205" spans="2:13" x14ac:dyDescent="0.25">
      <c r="B205" s="7"/>
      <c r="C205" s="7"/>
      <c r="D205" s="7"/>
      <c r="E205" s="7"/>
      <c r="F205" s="7"/>
      <c r="G205" s="7"/>
      <c r="H205" s="7"/>
      <c r="I205" s="7"/>
      <c r="J205" s="7"/>
      <c r="K205" s="7"/>
      <c r="L205" s="7"/>
      <c r="M205" s="7"/>
    </row>
    <row r="206" spans="2:13" x14ac:dyDescent="0.25">
      <c r="B206" s="7"/>
      <c r="C206" s="7"/>
      <c r="D206" s="7"/>
      <c r="E206" s="7"/>
      <c r="F206" s="7"/>
      <c r="G206" s="7"/>
      <c r="H206" s="7"/>
      <c r="I206" s="7"/>
      <c r="J206" s="7"/>
      <c r="K206" s="7"/>
      <c r="L206" s="7"/>
      <c r="M206" s="7"/>
    </row>
    <row r="207" spans="2:13" x14ac:dyDescent="0.25">
      <c r="B207" s="7"/>
      <c r="C207" s="7"/>
      <c r="D207" s="7"/>
      <c r="E207" s="7"/>
      <c r="F207" s="7"/>
      <c r="G207" s="7"/>
      <c r="H207" s="7"/>
      <c r="I207" s="7"/>
      <c r="J207" s="7"/>
      <c r="K207" s="7"/>
      <c r="L207" s="7"/>
      <c r="M207" s="7"/>
    </row>
    <row r="208" spans="2:13" x14ac:dyDescent="0.25">
      <c r="B208" s="7"/>
      <c r="C208" s="7"/>
      <c r="D208" s="7"/>
      <c r="E208" s="7"/>
      <c r="F208" s="7"/>
      <c r="G208" s="7"/>
      <c r="H208" s="7"/>
      <c r="I208" s="7"/>
      <c r="J208" s="7"/>
      <c r="K208" s="7"/>
      <c r="L208" s="7"/>
      <c r="M208" s="7"/>
    </row>
    <row r="209" spans="2:13" x14ac:dyDescent="0.25">
      <c r="B209" s="7"/>
      <c r="C209" s="7"/>
      <c r="D209" s="7"/>
      <c r="E209" s="7"/>
      <c r="F209" s="7"/>
      <c r="G209" s="7"/>
      <c r="H209" s="7"/>
      <c r="I209" s="7"/>
      <c r="J209" s="7"/>
      <c r="K209" s="7"/>
      <c r="L209" s="7"/>
      <c r="M209" s="7"/>
    </row>
    <row r="210" spans="2:13" x14ac:dyDescent="0.25">
      <c r="B210" s="7"/>
      <c r="C210" s="7"/>
      <c r="D210" s="7"/>
      <c r="E210" s="7"/>
      <c r="F210" s="7"/>
      <c r="G210" s="7"/>
      <c r="H210" s="7"/>
      <c r="I210" s="7"/>
      <c r="J210" s="7"/>
      <c r="K210" s="7"/>
      <c r="L210" s="7"/>
      <c r="M210" s="7"/>
    </row>
    <row r="211" spans="2:13" x14ac:dyDescent="0.25">
      <c r="B211" s="7"/>
      <c r="C211" s="7"/>
      <c r="D211" s="7"/>
      <c r="E211" s="7"/>
      <c r="F211" s="7"/>
      <c r="G211" s="7"/>
      <c r="H211" s="7"/>
      <c r="I211" s="7"/>
      <c r="J211" s="7"/>
      <c r="K211" s="7"/>
      <c r="L211" s="7"/>
      <c r="M211" s="7"/>
    </row>
    <row r="212" spans="2:13" x14ac:dyDescent="0.25">
      <c r="B212" s="7"/>
      <c r="C212" s="7"/>
      <c r="D212" s="7"/>
      <c r="E212" s="7"/>
      <c r="F212" s="7"/>
      <c r="G212" s="7"/>
      <c r="H212" s="7"/>
      <c r="I212" s="7"/>
      <c r="J212" s="7"/>
      <c r="K212" s="7"/>
      <c r="L212" s="7"/>
      <c r="M212" s="7"/>
    </row>
    <row r="213" spans="2:13" x14ac:dyDescent="0.25">
      <c r="B213" s="7"/>
      <c r="C213" s="7"/>
      <c r="D213" s="7"/>
      <c r="E213" s="7"/>
      <c r="F213" s="7"/>
      <c r="G213" s="7"/>
      <c r="H213" s="7"/>
      <c r="I213" s="7"/>
      <c r="J213" s="7"/>
      <c r="K213" s="7"/>
      <c r="L213" s="7"/>
      <c r="M213" s="7"/>
    </row>
    <row r="214" spans="2:13" x14ac:dyDescent="0.25">
      <c r="B214" s="7"/>
      <c r="C214" s="7"/>
      <c r="D214" s="7"/>
      <c r="E214" s="7"/>
      <c r="F214" s="7"/>
      <c r="G214" s="7"/>
      <c r="H214" s="7"/>
      <c r="I214" s="7"/>
      <c r="J214" s="7"/>
      <c r="K214" s="7"/>
      <c r="L214" s="7"/>
      <c r="M214" s="7"/>
    </row>
    <row r="215" spans="2:13" x14ac:dyDescent="0.25">
      <c r="B215" s="7"/>
      <c r="C215" s="7"/>
      <c r="D215" s="7"/>
      <c r="E215" s="7"/>
      <c r="F215" s="7"/>
      <c r="G215" s="7"/>
      <c r="H215" s="7"/>
      <c r="I215" s="7"/>
      <c r="J215" s="7"/>
      <c r="K215" s="7"/>
      <c r="L215" s="7"/>
      <c r="M215" s="7"/>
    </row>
    <row r="216" spans="2:13" x14ac:dyDescent="0.25">
      <c r="B216" s="7"/>
      <c r="C216" s="7"/>
      <c r="D216" s="7"/>
      <c r="E216" s="7"/>
      <c r="F216" s="7"/>
      <c r="G216" s="7"/>
      <c r="H216" s="7"/>
      <c r="I216" s="7"/>
      <c r="J216" s="7"/>
      <c r="K216" s="7"/>
      <c r="L216" s="7"/>
      <c r="M216" s="7"/>
    </row>
    <row r="217" spans="2:13" x14ac:dyDescent="0.25">
      <c r="B217" s="7"/>
      <c r="C217" s="7"/>
      <c r="D217" s="7"/>
      <c r="E217" s="7"/>
      <c r="F217" s="7"/>
      <c r="G217" s="7"/>
      <c r="H217" s="7"/>
      <c r="I217" s="7"/>
      <c r="J217" s="7"/>
      <c r="K217" s="7"/>
      <c r="L217" s="7"/>
      <c r="M217" s="7"/>
    </row>
    <row r="218" spans="2:13" x14ac:dyDescent="0.25">
      <c r="B218" s="7"/>
      <c r="C218" s="7"/>
      <c r="D218" s="7"/>
      <c r="E218" s="7"/>
      <c r="F218" s="7"/>
      <c r="G218" s="7"/>
      <c r="H218" s="7"/>
      <c r="I218" s="7"/>
      <c r="J218" s="7"/>
      <c r="K218" s="7"/>
      <c r="L218" s="7"/>
      <c r="M218" s="7"/>
    </row>
    <row r="219" spans="2:13" x14ac:dyDescent="0.25">
      <c r="B219" s="7"/>
      <c r="C219" s="7"/>
      <c r="D219" s="7"/>
      <c r="E219" s="7"/>
      <c r="F219" s="7"/>
      <c r="G219" s="7"/>
      <c r="H219" s="7"/>
      <c r="I219" s="7"/>
      <c r="J219" s="7"/>
      <c r="K219" s="7"/>
      <c r="L219" s="7"/>
      <c r="M219" s="7"/>
    </row>
    <row r="220" spans="2:13" x14ac:dyDescent="0.25">
      <c r="B220" s="7"/>
      <c r="C220" s="7"/>
      <c r="D220" s="7"/>
      <c r="E220" s="7"/>
      <c r="F220" s="7"/>
      <c r="G220" s="7"/>
      <c r="H220" s="7"/>
      <c r="I220" s="7"/>
      <c r="J220" s="7"/>
      <c r="K220" s="7"/>
      <c r="L220" s="7"/>
      <c r="M220" s="7"/>
    </row>
    <row r="221" spans="2:13" x14ac:dyDescent="0.25">
      <c r="B221" s="7"/>
      <c r="C221" s="7"/>
      <c r="D221" s="7"/>
      <c r="E221" s="7"/>
      <c r="F221" s="7"/>
      <c r="G221" s="7"/>
      <c r="H221" s="7"/>
      <c r="I221" s="7"/>
      <c r="J221" s="7"/>
      <c r="K221" s="7"/>
      <c r="L221" s="7"/>
      <c r="M221" s="7"/>
    </row>
    <row r="222" spans="2:13" x14ac:dyDescent="0.25">
      <c r="B222" s="7"/>
      <c r="C222" s="7"/>
      <c r="D222" s="7"/>
      <c r="E222" s="7"/>
      <c r="F222" s="7"/>
      <c r="G222" s="7"/>
      <c r="H222" s="7"/>
      <c r="I222" s="7"/>
      <c r="J222" s="7"/>
      <c r="K222" s="7"/>
      <c r="L222" s="7"/>
      <c r="M222" s="7"/>
    </row>
    <row r="223" spans="2:13" x14ac:dyDescent="0.25">
      <c r="B223" s="7"/>
      <c r="C223" s="7"/>
      <c r="D223" s="7"/>
      <c r="E223" s="7"/>
      <c r="F223" s="7"/>
      <c r="G223" s="7"/>
      <c r="H223" s="7"/>
      <c r="I223" s="7"/>
      <c r="J223" s="7"/>
      <c r="K223" s="7"/>
      <c r="L223" s="7"/>
      <c r="M223" s="7"/>
    </row>
    <row r="224" spans="2:13" x14ac:dyDescent="0.25">
      <c r="B224" s="7"/>
      <c r="C224" s="7"/>
      <c r="D224" s="7"/>
      <c r="E224" s="7"/>
      <c r="F224" s="7"/>
      <c r="G224" s="7"/>
      <c r="H224" s="7"/>
      <c r="I224" s="7"/>
      <c r="J224" s="7"/>
      <c r="K224" s="7"/>
      <c r="L224" s="7"/>
      <c r="M224" s="7"/>
    </row>
    <row r="225" spans="2:13" x14ac:dyDescent="0.25">
      <c r="B225" s="7"/>
      <c r="C225" s="7"/>
      <c r="D225" s="7"/>
      <c r="E225" s="7"/>
      <c r="F225" s="7"/>
      <c r="G225" s="7"/>
      <c r="H225" s="7"/>
      <c r="I225" s="7"/>
      <c r="J225" s="7"/>
      <c r="K225" s="7"/>
      <c r="L225" s="7"/>
      <c r="M225" s="7"/>
    </row>
    <row r="226" spans="2:13" x14ac:dyDescent="0.25">
      <c r="B226" s="7"/>
      <c r="C226" s="7"/>
      <c r="D226" s="7"/>
      <c r="E226" s="7"/>
      <c r="F226" s="7"/>
      <c r="G226" s="7"/>
      <c r="H226" s="7"/>
      <c r="I226" s="7"/>
      <c r="J226" s="7"/>
      <c r="K226" s="7"/>
      <c r="L226" s="7"/>
      <c r="M226" s="7"/>
    </row>
    <row r="227" spans="2:13" x14ac:dyDescent="0.25">
      <c r="B227" s="7"/>
      <c r="C227" s="7"/>
      <c r="D227" s="7"/>
      <c r="E227" s="7"/>
      <c r="F227" s="7"/>
      <c r="G227" s="7"/>
      <c r="H227" s="7"/>
      <c r="I227" s="7"/>
      <c r="J227" s="7"/>
      <c r="K227" s="7"/>
      <c r="L227" s="7"/>
      <c r="M227" s="7"/>
    </row>
    <row r="228" spans="2:13" x14ac:dyDescent="0.25">
      <c r="B228" s="7"/>
      <c r="C228" s="7"/>
      <c r="D228" s="7"/>
      <c r="E228" s="7"/>
      <c r="F228" s="7"/>
      <c r="G228" s="7"/>
      <c r="H228" s="7"/>
      <c r="I228" s="7"/>
      <c r="J228" s="7"/>
      <c r="K228" s="7"/>
      <c r="L228" s="7"/>
      <c r="M228" s="7"/>
    </row>
    <row r="229" spans="2:13" x14ac:dyDescent="0.25">
      <c r="B229" s="7"/>
      <c r="C229" s="7"/>
      <c r="D229" s="7"/>
      <c r="E229" s="7"/>
      <c r="F229" s="7"/>
      <c r="G229" s="7"/>
      <c r="H229" s="7"/>
      <c r="I229" s="7"/>
      <c r="J229" s="7"/>
      <c r="K229" s="7"/>
      <c r="L229" s="7"/>
      <c r="M229" s="7"/>
    </row>
  </sheetData>
  <mergeCells count="4">
    <mergeCell ref="B2:B3"/>
    <mergeCell ref="C2:D3"/>
    <mergeCell ref="E2:E3"/>
    <mergeCell ref="G2:H2"/>
  </mergeCells>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25AD4-5430-4D04-8F76-6EC9773A7771}">
  <sheetPr>
    <tabColor rgb="FF00B0F0"/>
  </sheetPr>
  <dimension ref="A1:AR121"/>
  <sheetViews>
    <sheetView zoomScale="130" zoomScaleNormal="130" zoomScaleSheetLayoutView="120" workbookViewId="0">
      <selection activeCell="L33" sqref="L33"/>
    </sheetView>
  </sheetViews>
  <sheetFormatPr defaultRowHeight="15" x14ac:dyDescent="0.25"/>
  <cols>
    <col min="1" max="1" width="7.28515625" style="7" customWidth="1"/>
    <col min="2" max="8" width="9.140625" style="7"/>
    <col min="9" max="9" width="9.140625" style="7" customWidth="1"/>
    <col min="10" max="10" width="12" style="7" customWidth="1"/>
    <col min="11" max="11" width="8.140625" style="7" customWidth="1"/>
    <col min="12" max="19" width="9.140625" style="7"/>
    <col min="20" max="44" width="9.140625" style="52"/>
  </cols>
  <sheetData>
    <row r="1" spans="2:13" ht="15" customHeight="1" x14ac:dyDescent="0.25">
      <c r="C1" s="48"/>
      <c r="D1" s="48"/>
      <c r="E1" s="48"/>
      <c r="F1" s="48"/>
      <c r="G1" s="48"/>
      <c r="H1" s="48"/>
      <c r="I1" s="48"/>
      <c r="J1" s="48"/>
      <c r="K1" s="48"/>
      <c r="L1" s="48"/>
      <c r="M1" s="48"/>
    </row>
    <row r="2" spans="2:13" ht="33" customHeight="1" x14ac:dyDescent="0.25">
      <c r="B2" s="48"/>
      <c r="C2" s="104" t="s">
        <v>71</v>
      </c>
      <c r="D2" s="104"/>
      <c r="E2" s="104"/>
      <c r="F2" s="104"/>
      <c r="G2" s="104"/>
      <c r="H2" s="104"/>
      <c r="I2" s="104"/>
      <c r="J2" s="48"/>
      <c r="K2" s="48"/>
      <c r="L2" s="48"/>
      <c r="M2" s="48"/>
    </row>
    <row r="3" spans="2:13" ht="12.75" customHeight="1" x14ac:dyDescent="0.25">
      <c r="B3" s="103" t="s">
        <v>65</v>
      </c>
      <c r="C3" s="103"/>
      <c r="D3" s="103"/>
      <c r="E3" s="103"/>
      <c r="F3" s="103"/>
      <c r="G3" s="103"/>
      <c r="H3" s="103"/>
      <c r="I3" s="103"/>
      <c r="J3" s="103"/>
      <c r="K3" s="48"/>
      <c r="L3" s="48"/>
      <c r="M3" s="48"/>
    </row>
    <row r="4" spans="2:13" x14ac:dyDescent="0.25">
      <c r="B4" s="103"/>
      <c r="C4" s="103"/>
      <c r="D4" s="103"/>
      <c r="E4" s="103"/>
      <c r="F4" s="103"/>
      <c r="G4" s="103"/>
      <c r="H4" s="103"/>
      <c r="I4" s="103"/>
      <c r="J4" s="103"/>
    </row>
    <row r="5" spans="2:13" x14ac:dyDescent="0.25">
      <c r="B5" s="49"/>
      <c r="C5" s="49"/>
      <c r="D5" s="49"/>
      <c r="E5" s="49"/>
      <c r="F5" s="49"/>
      <c r="G5" s="49"/>
      <c r="H5" s="49"/>
      <c r="I5" s="49"/>
    </row>
    <row r="6" spans="2:13" x14ac:dyDescent="0.25">
      <c r="B6" s="106" t="s">
        <v>61</v>
      </c>
      <c r="C6" s="106"/>
      <c r="D6" s="106"/>
      <c r="E6" s="106"/>
      <c r="F6" s="106"/>
      <c r="G6" s="106"/>
      <c r="H6" s="106"/>
    </row>
    <row r="19" spans="2:8" x14ac:dyDescent="0.25">
      <c r="B19" s="107" t="s">
        <v>62</v>
      </c>
      <c r="C19" s="107"/>
      <c r="D19" s="107"/>
      <c r="E19" s="107"/>
      <c r="F19" s="107"/>
      <c r="G19" s="107"/>
      <c r="H19" s="107"/>
    </row>
    <row r="33" spans="2:10" ht="15" customHeight="1" x14ac:dyDescent="0.25">
      <c r="B33" s="102" t="s">
        <v>64</v>
      </c>
      <c r="C33" s="102"/>
      <c r="D33" s="102"/>
      <c r="E33" s="102"/>
      <c r="F33" s="102"/>
      <c r="G33" s="102"/>
      <c r="H33" s="102"/>
      <c r="I33" s="102"/>
      <c r="J33" s="51"/>
    </row>
    <row r="34" spans="2:10" x14ac:dyDescent="0.25">
      <c r="B34" s="102"/>
      <c r="C34" s="102"/>
      <c r="D34" s="102"/>
      <c r="E34" s="102"/>
      <c r="F34" s="102"/>
      <c r="G34" s="102"/>
      <c r="H34" s="102"/>
      <c r="I34" s="102"/>
      <c r="J34" s="51"/>
    </row>
    <row r="35" spans="2:10" x14ac:dyDescent="0.25">
      <c r="B35" s="102"/>
      <c r="C35" s="102"/>
      <c r="D35" s="102"/>
      <c r="E35" s="102"/>
      <c r="F35" s="102"/>
      <c r="G35" s="102"/>
      <c r="H35" s="102"/>
      <c r="I35" s="102"/>
      <c r="J35" s="50"/>
    </row>
    <row r="36" spans="2:10" x14ac:dyDescent="0.25">
      <c r="B36" s="46"/>
      <c r="C36" s="46"/>
      <c r="D36" s="46"/>
      <c r="E36" s="46"/>
      <c r="F36" s="46"/>
      <c r="G36" s="46"/>
      <c r="H36" s="46"/>
      <c r="I36" s="46"/>
    </row>
    <row r="37" spans="2:10" x14ac:dyDescent="0.25">
      <c r="B37" s="46"/>
      <c r="C37" s="46"/>
      <c r="D37" s="46"/>
      <c r="E37" s="46"/>
      <c r="F37" s="46"/>
      <c r="G37" s="46"/>
      <c r="H37" s="46"/>
      <c r="I37" s="46"/>
    </row>
    <row r="38" spans="2:10" x14ac:dyDescent="0.25">
      <c r="B38" s="46"/>
      <c r="C38" s="46"/>
      <c r="D38" s="46"/>
      <c r="E38" s="46"/>
      <c r="F38" s="46"/>
      <c r="G38" s="46"/>
      <c r="H38" s="46"/>
      <c r="I38" s="46"/>
    </row>
    <row r="39" spans="2:10" x14ac:dyDescent="0.25">
      <c r="B39" s="46"/>
      <c r="C39" s="46"/>
      <c r="D39" s="46"/>
      <c r="E39" s="46"/>
      <c r="F39" s="46"/>
      <c r="G39" s="46"/>
      <c r="H39" s="46"/>
      <c r="I39" s="46"/>
    </row>
    <row r="40" spans="2:10" x14ac:dyDescent="0.25">
      <c r="B40" s="46"/>
      <c r="C40" s="46"/>
      <c r="D40" s="46"/>
      <c r="E40" s="46"/>
      <c r="F40" s="46"/>
      <c r="G40" s="46"/>
      <c r="H40" s="46"/>
      <c r="I40" s="46"/>
    </row>
    <row r="41" spans="2:10" x14ac:dyDescent="0.25">
      <c r="B41" s="46"/>
      <c r="C41" s="46"/>
      <c r="D41" s="46"/>
      <c r="E41" s="46"/>
      <c r="F41" s="46"/>
      <c r="G41" s="46"/>
      <c r="H41" s="46"/>
      <c r="I41" s="46"/>
    </row>
    <row r="42" spans="2:10" x14ac:dyDescent="0.25">
      <c r="B42" s="46"/>
      <c r="C42" s="46"/>
      <c r="D42" s="46"/>
      <c r="E42" s="46"/>
      <c r="F42" s="46"/>
      <c r="G42" s="46"/>
      <c r="H42" s="46"/>
      <c r="I42" s="46"/>
    </row>
    <row r="43" spans="2:10" x14ac:dyDescent="0.25">
      <c r="B43" s="46"/>
      <c r="C43" s="46"/>
      <c r="D43" s="46"/>
      <c r="E43" s="46"/>
      <c r="F43" s="46"/>
      <c r="G43" s="46"/>
      <c r="H43" s="46"/>
      <c r="I43" s="46"/>
    </row>
    <row r="44" spans="2:10" x14ac:dyDescent="0.25">
      <c r="B44" s="46"/>
      <c r="C44" s="46"/>
      <c r="D44" s="46"/>
      <c r="E44" s="46"/>
      <c r="F44" s="46"/>
      <c r="G44" s="46"/>
      <c r="H44" s="46"/>
      <c r="I44" s="46"/>
    </row>
    <row r="45" spans="2:10" x14ac:dyDescent="0.25">
      <c r="B45" s="46"/>
      <c r="C45" s="46"/>
      <c r="D45" s="46"/>
      <c r="E45" s="46"/>
      <c r="F45" s="46"/>
      <c r="G45" s="46"/>
      <c r="H45" s="46"/>
      <c r="I45" s="46"/>
    </row>
    <row r="46" spans="2:10" x14ac:dyDescent="0.25">
      <c r="B46" s="46"/>
      <c r="C46" s="46"/>
      <c r="D46" s="46"/>
      <c r="E46" s="46"/>
      <c r="F46" s="46"/>
      <c r="G46" s="46"/>
      <c r="H46" s="46"/>
      <c r="I46" s="46"/>
    </row>
    <row r="47" spans="2:10" x14ac:dyDescent="0.25">
      <c r="B47" s="46"/>
      <c r="C47" s="46"/>
      <c r="D47" s="46"/>
      <c r="E47" s="46"/>
      <c r="F47" s="46"/>
      <c r="G47" s="46"/>
      <c r="H47" s="46"/>
      <c r="I47" s="46"/>
    </row>
    <row r="48" spans="2:10" x14ac:dyDescent="0.25">
      <c r="B48" s="46"/>
      <c r="C48" s="46"/>
      <c r="D48" s="46"/>
      <c r="E48" s="46"/>
      <c r="F48" s="46"/>
      <c r="G48" s="46"/>
      <c r="H48" s="46"/>
      <c r="I48" s="46"/>
    </row>
    <row r="68" spans="2:10" ht="15" customHeight="1" x14ac:dyDescent="0.25">
      <c r="B68" s="105" t="s">
        <v>75</v>
      </c>
      <c r="C68" s="105"/>
      <c r="D68" s="105"/>
      <c r="E68" s="105"/>
      <c r="F68" s="105"/>
      <c r="G68" s="105"/>
      <c r="H68" s="105"/>
      <c r="I68" s="105"/>
      <c r="J68" s="105"/>
    </row>
    <row r="69" spans="2:10" x14ac:dyDescent="0.25">
      <c r="B69" s="105"/>
      <c r="C69" s="105"/>
      <c r="D69" s="105"/>
      <c r="E69" s="105"/>
      <c r="F69" s="105"/>
      <c r="G69" s="105"/>
      <c r="H69" s="105"/>
      <c r="I69" s="105"/>
      <c r="J69" s="105"/>
    </row>
    <row r="70" spans="2:10" x14ac:dyDescent="0.25">
      <c r="B70" s="105"/>
      <c r="C70" s="105"/>
      <c r="D70" s="105"/>
      <c r="E70" s="105"/>
      <c r="F70" s="105"/>
      <c r="G70" s="105"/>
      <c r="H70" s="105"/>
      <c r="I70" s="105"/>
      <c r="J70" s="105"/>
    </row>
    <row r="71" spans="2:10" x14ac:dyDescent="0.25">
      <c r="B71" s="105" t="s">
        <v>76</v>
      </c>
      <c r="C71" s="105"/>
      <c r="D71" s="105"/>
      <c r="E71" s="105"/>
      <c r="F71" s="105"/>
      <c r="G71" s="105"/>
      <c r="H71" s="105"/>
      <c r="I71" s="105"/>
      <c r="J71" s="105"/>
    </row>
    <row r="72" spans="2:10" ht="15" customHeight="1" x14ac:dyDescent="0.25">
      <c r="B72" s="105"/>
      <c r="C72" s="105"/>
      <c r="D72" s="105"/>
      <c r="E72" s="105"/>
      <c r="F72" s="105"/>
      <c r="G72" s="105"/>
      <c r="H72" s="105"/>
      <c r="I72" s="105"/>
      <c r="J72" s="105"/>
    </row>
    <row r="73" spans="2:10" x14ac:dyDescent="0.25">
      <c r="B73" s="105"/>
      <c r="C73" s="105"/>
      <c r="D73" s="105"/>
      <c r="E73" s="105"/>
      <c r="F73" s="105"/>
      <c r="G73" s="105"/>
      <c r="H73" s="105"/>
      <c r="I73" s="105"/>
      <c r="J73" s="105"/>
    </row>
    <row r="74" spans="2:10" x14ac:dyDescent="0.25">
      <c r="B74" s="105"/>
      <c r="C74" s="105"/>
      <c r="D74" s="105"/>
      <c r="E74" s="105"/>
      <c r="F74" s="105"/>
      <c r="G74" s="105"/>
      <c r="H74" s="105"/>
      <c r="I74" s="105"/>
      <c r="J74" s="105"/>
    </row>
    <row r="75" spans="2:10" x14ac:dyDescent="0.25">
      <c r="B75" s="105"/>
      <c r="C75" s="105"/>
      <c r="D75" s="105"/>
      <c r="E75" s="105"/>
      <c r="F75" s="105"/>
      <c r="G75" s="105"/>
      <c r="H75" s="105"/>
      <c r="I75" s="105"/>
      <c r="J75" s="105"/>
    </row>
    <row r="76" spans="2:10" x14ac:dyDescent="0.25">
      <c r="B76" s="105"/>
      <c r="C76" s="105"/>
      <c r="D76" s="105"/>
      <c r="E76" s="105"/>
      <c r="F76" s="105"/>
      <c r="G76" s="105"/>
      <c r="H76" s="105"/>
      <c r="I76" s="105"/>
      <c r="J76" s="105"/>
    </row>
    <row r="77" spans="2:10" x14ac:dyDescent="0.25">
      <c r="B77" s="105"/>
      <c r="C77" s="105"/>
      <c r="D77" s="105"/>
      <c r="E77" s="105"/>
      <c r="F77" s="105"/>
      <c r="G77" s="105"/>
      <c r="H77" s="105"/>
      <c r="I77" s="105"/>
      <c r="J77" s="105"/>
    </row>
    <row r="78" spans="2:10" ht="15" customHeight="1" x14ac:dyDescent="0.25">
      <c r="B78" s="105" t="s">
        <v>70</v>
      </c>
      <c r="C78" s="105"/>
      <c r="D78" s="105"/>
      <c r="E78" s="105"/>
      <c r="F78" s="105"/>
      <c r="G78" s="105"/>
      <c r="H78" s="105"/>
      <c r="I78" s="105"/>
      <c r="J78" s="105"/>
    </row>
    <row r="79" spans="2:10" x14ac:dyDescent="0.25">
      <c r="B79" s="105"/>
      <c r="C79" s="105"/>
      <c r="D79" s="105"/>
      <c r="E79" s="105"/>
      <c r="F79" s="105"/>
      <c r="G79" s="105"/>
      <c r="H79" s="105"/>
      <c r="I79" s="105"/>
      <c r="J79" s="105"/>
    </row>
    <row r="80" spans="2:10" x14ac:dyDescent="0.25">
      <c r="B80" s="105"/>
      <c r="C80" s="105"/>
      <c r="D80" s="105"/>
      <c r="E80" s="105"/>
      <c r="F80" s="105"/>
      <c r="G80" s="105"/>
      <c r="H80" s="105"/>
      <c r="I80" s="105"/>
      <c r="J80" s="105"/>
    </row>
    <row r="81" spans="2:10" x14ac:dyDescent="0.25">
      <c r="B81" s="105"/>
      <c r="C81" s="105"/>
      <c r="D81" s="105"/>
      <c r="E81" s="105"/>
      <c r="F81" s="105"/>
      <c r="G81" s="105"/>
      <c r="H81" s="105"/>
      <c r="I81" s="105"/>
      <c r="J81" s="105"/>
    </row>
    <row r="82" spans="2:10" x14ac:dyDescent="0.25">
      <c r="B82" s="105"/>
      <c r="C82" s="105"/>
      <c r="D82" s="105"/>
      <c r="E82" s="105"/>
      <c r="F82" s="105"/>
      <c r="G82" s="105"/>
      <c r="H82" s="105"/>
      <c r="I82" s="105"/>
      <c r="J82" s="105"/>
    </row>
    <row r="83" spans="2:10" ht="15" customHeight="1" x14ac:dyDescent="0.25">
      <c r="B83" s="105" t="s">
        <v>77</v>
      </c>
      <c r="C83" s="105"/>
      <c r="D83" s="105"/>
      <c r="E83" s="105"/>
      <c r="F83" s="105"/>
      <c r="G83" s="105"/>
      <c r="H83" s="105"/>
      <c r="I83" s="105"/>
      <c r="J83" s="105"/>
    </row>
    <row r="84" spans="2:10" x14ac:dyDescent="0.25">
      <c r="B84" s="105"/>
      <c r="C84" s="105"/>
      <c r="D84" s="105"/>
      <c r="E84" s="105"/>
      <c r="F84" s="105"/>
      <c r="G84" s="105"/>
      <c r="H84" s="105"/>
      <c r="I84" s="105"/>
      <c r="J84" s="105"/>
    </row>
    <row r="85" spans="2:10" x14ac:dyDescent="0.25">
      <c r="B85" s="105"/>
      <c r="C85" s="105"/>
      <c r="D85" s="105"/>
      <c r="E85" s="105"/>
      <c r="F85" s="105"/>
      <c r="G85" s="105"/>
      <c r="H85" s="105"/>
      <c r="I85" s="105"/>
      <c r="J85" s="105"/>
    </row>
    <row r="86" spans="2:10" x14ac:dyDescent="0.25">
      <c r="B86" s="105"/>
      <c r="C86" s="105"/>
      <c r="D86" s="105"/>
      <c r="E86" s="105"/>
      <c r="F86" s="105"/>
      <c r="G86" s="105"/>
      <c r="H86" s="105"/>
      <c r="I86" s="105"/>
      <c r="J86" s="105"/>
    </row>
    <row r="87" spans="2:10" x14ac:dyDescent="0.25">
      <c r="B87" s="105"/>
      <c r="C87" s="105"/>
      <c r="D87" s="105"/>
      <c r="E87" s="105"/>
      <c r="F87" s="105"/>
      <c r="G87" s="105"/>
      <c r="H87" s="105"/>
      <c r="I87" s="105"/>
      <c r="J87" s="105"/>
    </row>
    <row r="88" spans="2:10" x14ac:dyDescent="0.25">
      <c r="B88" s="105"/>
      <c r="C88" s="105"/>
      <c r="D88" s="105"/>
      <c r="E88" s="105"/>
      <c r="F88" s="105"/>
      <c r="G88" s="105"/>
      <c r="H88" s="105"/>
      <c r="I88" s="105"/>
      <c r="J88" s="105"/>
    </row>
    <row r="89" spans="2:10" ht="15" customHeight="1" x14ac:dyDescent="0.25">
      <c r="B89" s="105" t="s">
        <v>66</v>
      </c>
      <c r="C89" s="105"/>
      <c r="D89" s="105"/>
      <c r="E89" s="105"/>
      <c r="F89" s="105"/>
      <c r="G89" s="105"/>
      <c r="H89" s="105"/>
      <c r="I89" s="105"/>
      <c r="J89" s="105"/>
    </row>
    <row r="90" spans="2:10" x14ac:dyDescent="0.25">
      <c r="B90" s="105"/>
      <c r="C90" s="105"/>
      <c r="D90" s="105"/>
      <c r="E90" s="105"/>
      <c r="F90" s="105"/>
      <c r="G90" s="105"/>
      <c r="H90" s="105"/>
      <c r="I90" s="105"/>
      <c r="J90" s="105"/>
    </row>
    <row r="91" spans="2:10" x14ac:dyDescent="0.25">
      <c r="B91" s="105"/>
      <c r="C91" s="105"/>
      <c r="D91" s="105"/>
      <c r="E91" s="105"/>
      <c r="F91" s="105"/>
      <c r="G91" s="105"/>
      <c r="H91" s="105"/>
      <c r="I91" s="105"/>
      <c r="J91" s="105"/>
    </row>
    <row r="92" spans="2:10" x14ac:dyDescent="0.25">
      <c r="B92" s="105"/>
      <c r="C92" s="105"/>
      <c r="D92" s="105"/>
      <c r="E92" s="105"/>
      <c r="F92" s="105"/>
      <c r="G92" s="105"/>
      <c r="H92" s="105"/>
      <c r="I92" s="105"/>
      <c r="J92" s="105"/>
    </row>
    <row r="93" spans="2:10" x14ac:dyDescent="0.25">
      <c r="B93" s="105"/>
      <c r="C93" s="105"/>
      <c r="D93" s="105"/>
      <c r="E93" s="105"/>
      <c r="F93" s="105"/>
      <c r="G93" s="105"/>
      <c r="H93" s="105"/>
      <c r="I93" s="105"/>
      <c r="J93" s="105"/>
    </row>
    <row r="94" spans="2:10" ht="15" customHeight="1" x14ac:dyDescent="0.25">
      <c r="B94" s="105" t="s">
        <v>78</v>
      </c>
      <c r="C94" s="105"/>
      <c r="D94" s="105"/>
      <c r="E94" s="105"/>
      <c r="F94" s="105"/>
      <c r="G94" s="105"/>
      <c r="H94" s="105"/>
      <c r="I94" s="105"/>
      <c r="J94" s="105"/>
    </row>
    <row r="95" spans="2:10" x14ac:dyDescent="0.25">
      <c r="B95" s="105"/>
      <c r="C95" s="105"/>
      <c r="D95" s="105"/>
      <c r="E95" s="105"/>
      <c r="F95" s="105"/>
      <c r="G95" s="105"/>
      <c r="H95" s="105"/>
      <c r="I95" s="105"/>
      <c r="J95" s="105"/>
    </row>
    <row r="96" spans="2:10" x14ac:dyDescent="0.25">
      <c r="B96" s="105"/>
      <c r="C96" s="105"/>
      <c r="D96" s="105"/>
      <c r="E96" s="105"/>
      <c r="F96" s="105"/>
      <c r="G96" s="105"/>
      <c r="H96" s="105"/>
      <c r="I96" s="105"/>
      <c r="J96" s="105"/>
    </row>
    <row r="97" spans="2:10" x14ac:dyDescent="0.25">
      <c r="B97" s="105"/>
      <c r="C97" s="105"/>
      <c r="D97" s="105"/>
      <c r="E97" s="105"/>
      <c r="F97" s="105"/>
      <c r="G97" s="105"/>
      <c r="H97" s="105"/>
      <c r="I97" s="105"/>
      <c r="J97" s="105"/>
    </row>
    <row r="98" spans="2:10" x14ac:dyDescent="0.25">
      <c r="B98" s="105"/>
      <c r="C98" s="105"/>
      <c r="D98" s="105"/>
      <c r="E98" s="105"/>
      <c r="F98" s="105"/>
      <c r="G98" s="105"/>
      <c r="H98" s="105"/>
      <c r="I98" s="105"/>
      <c r="J98" s="105"/>
    </row>
    <row r="99" spans="2:10" x14ac:dyDescent="0.25">
      <c r="F99" s="54"/>
    </row>
    <row r="101" spans="2:10" x14ac:dyDescent="0.25">
      <c r="B101" s="109" t="s">
        <v>67</v>
      </c>
      <c r="C101" s="109"/>
    </row>
    <row r="102" spans="2:10" ht="15" customHeight="1" x14ac:dyDescent="0.25">
      <c r="B102" s="109"/>
      <c r="C102" s="109"/>
    </row>
    <row r="103" spans="2:10" ht="15" customHeight="1" x14ac:dyDescent="0.25"/>
    <row r="104" spans="2:10" ht="13.5" customHeight="1" x14ac:dyDescent="0.25">
      <c r="B104" s="110" t="s">
        <v>72</v>
      </c>
      <c r="C104" s="110"/>
      <c r="D104" s="110"/>
      <c r="E104" s="110"/>
      <c r="F104" s="110"/>
      <c r="G104" s="110"/>
      <c r="H104" s="110"/>
      <c r="I104" s="110"/>
      <c r="J104" s="110"/>
    </row>
    <row r="105" spans="2:10" ht="25.5" customHeight="1" x14ac:dyDescent="0.25">
      <c r="B105" s="110"/>
      <c r="C105" s="110"/>
      <c r="D105" s="110"/>
      <c r="E105" s="110"/>
      <c r="F105" s="110"/>
      <c r="G105" s="110"/>
      <c r="H105" s="110"/>
      <c r="I105" s="110"/>
      <c r="J105" s="110"/>
    </row>
    <row r="106" spans="2:10" ht="15" customHeight="1" x14ac:dyDescent="0.25">
      <c r="B106" s="111" t="s">
        <v>69</v>
      </c>
      <c r="C106" s="111"/>
      <c r="D106" s="111"/>
      <c r="E106" s="111"/>
      <c r="F106" s="111"/>
      <c r="G106" s="111"/>
      <c r="H106" s="111"/>
      <c r="I106" s="111"/>
      <c r="J106" s="111"/>
    </row>
    <row r="107" spans="2:10" x14ac:dyDescent="0.25">
      <c r="B107" s="111"/>
      <c r="C107" s="111"/>
      <c r="D107" s="111"/>
      <c r="E107" s="111"/>
      <c r="F107" s="111"/>
      <c r="G107" s="111"/>
      <c r="H107" s="111"/>
      <c r="I107" s="111"/>
      <c r="J107" s="111"/>
    </row>
    <row r="108" spans="2:10" x14ac:dyDescent="0.25">
      <c r="B108" s="111"/>
      <c r="C108" s="111"/>
      <c r="D108" s="111"/>
      <c r="E108" s="111"/>
      <c r="F108" s="111"/>
      <c r="G108" s="111"/>
      <c r="H108" s="111"/>
      <c r="I108" s="111"/>
      <c r="J108" s="111"/>
    </row>
    <row r="109" spans="2:10" ht="16.5" customHeight="1" x14ac:dyDescent="0.25">
      <c r="B109" s="110" t="s">
        <v>73</v>
      </c>
      <c r="C109" s="110"/>
      <c r="D109" s="110"/>
      <c r="E109" s="110"/>
      <c r="F109" s="110"/>
      <c r="G109" s="110"/>
      <c r="H109" s="110"/>
      <c r="I109" s="110"/>
      <c r="J109" s="110"/>
    </row>
    <row r="110" spans="2:10" x14ac:dyDescent="0.25">
      <c r="B110" s="110"/>
      <c r="C110" s="110"/>
      <c r="D110" s="110"/>
      <c r="E110" s="110"/>
      <c r="F110" s="110"/>
      <c r="G110" s="110"/>
      <c r="H110" s="110"/>
      <c r="I110" s="110"/>
      <c r="J110" s="110"/>
    </row>
    <row r="111" spans="2:10" x14ac:dyDescent="0.25">
      <c r="B111" s="110"/>
      <c r="C111" s="110"/>
      <c r="D111" s="110"/>
      <c r="E111" s="110"/>
      <c r="F111" s="110"/>
      <c r="G111" s="110"/>
      <c r="H111" s="110"/>
      <c r="I111" s="110"/>
      <c r="J111" s="110"/>
    </row>
    <row r="112" spans="2:10" x14ac:dyDescent="0.25">
      <c r="B112" s="110"/>
      <c r="C112" s="110"/>
      <c r="D112" s="110"/>
      <c r="E112" s="110"/>
      <c r="F112" s="110"/>
      <c r="G112" s="110"/>
      <c r="H112" s="110"/>
      <c r="I112" s="110"/>
      <c r="J112" s="110"/>
    </row>
    <row r="113" spans="2:10" ht="15" customHeight="1" x14ac:dyDescent="0.25">
      <c r="B113" s="112" t="s">
        <v>79</v>
      </c>
      <c r="C113" s="113"/>
      <c r="D113" s="113"/>
      <c r="E113" s="113"/>
      <c r="F113" s="113"/>
      <c r="G113" s="113"/>
      <c r="H113" s="113"/>
      <c r="I113" s="113"/>
      <c r="J113" s="114"/>
    </row>
    <row r="114" spans="2:10" x14ac:dyDescent="0.25">
      <c r="B114" s="115"/>
      <c r="C114" s="116"/>
      <c r="D114" s="116"/>
      <c r="E114" s="116"/>
      <c r="F114" s="116"/>
      <c r="G114" s="116"/>
      <c r="H114" s="116"/>
      <c r="I114" s="116"/>
      <c r="J114" s="117"/>
    </row>
    <row r="115" spans="2:10" x14ac:dyDescent="0.25">
      <c r="B115" s="118"/>
      <c r="C115" s="119"/>
      <c r="D115" s="119"/>
      <c r="E115" s="119"/>
      <c r="F115" s="119"/>
      <c r="G115" s="119"/>
      <c r="H115" s="119"/>
      <c r="I115" s="119"/>
      <c r="J115" s="120"/>
    </row>
    <row r="116" spans="2:10" ht="15" customHeight="1" x14ac:dyDescent="0.25">
      <c r="B116" s="121" t="s">
        <v>80</v>
      </c>
      <c r="C116" s="121"/>
      <c r="D116" s="121"/>
      <c r="E116" s="121"/>
      <c r="F116" s="121"/>
      <c r="G116" s="121"/>
      <c r="H116" s="121"/>
      <c r="I116" s="121"/>
      <c r="J116" s="121"/>
    </row>
    <row r="117" spans="2:10" x14ac:dyDescent="0.25">
      <c r="B117" s="121"/>
      <c r="C117" s="121"/>
      <c r="D117" s="121"/>
      <c r="E117" s="121"/>
      <c r="F117" s="121"/>
      <c r="G117" s="121"/>
      <c r="H117" s="121"/>
      <c r="I117" s="121"/>
      <c r="J117" s="121"/>
    </row>
    <row r="118" spans="2:10" x14ac:dyDescent="0.25">
      <c r="B118" s="121"/>
      <c r="C118" s="121"/>
      <c r="D118" s="121"/>
      <c r="E118" s="121"/>
      <c r="F118" s="121"/>
      <c r="G118" s="121"/>
      <c r="H118" s="121"/>
      <c r="I118" s="121"/>
      <c r="J118" s="121"/>
    </row>
    <row r="119" spans="2:10" x14ac:dyDescent="0.25">
      <c r="B119" s="121"/>
      <c r="C119" s="121"/>
      <c r="D119" s="121"/>
      <c r="E119" s="121"/>
      <c r="F119" s="121"/>
      <c r="G119" s="121"/>
      <c r="H119" s="121"/>
      <c r="I119" s="121"/>
      <c r="J119" s="121"/>
    </row>
    <row r="121" spans="2:10" ht="15" customHeight="1" x14ac:dyDescent="0.25">
      <c r="B121" s="108" t="s">
        <v>68</v>
      </c>
      <c r="C121" s="108"/>
      <c r="D121" s="108"/>
      <c r="E121" s="108"/>
      <c r="F121" s="108"/>
      <c r="G121" s="108"/>
      <c r="H121" s="108"/>
      <c r="I121" s="108"/>
      <c r="J121" s="108"/>
    </row>
  </sheetData>
  <mergeCells count="18">
    <mergeCell ref="B78:J82"/>
    <mergeCell ref="B83:J88"/>
    <mergeCell ref="B121:J121"/>
    <mergeCell ref="B101:C102"/>
    <mergeCell ref="B89:J93"/>
    <mergeCell ref="B94:J98"/>
    <mergeCell ref="B104:J105"/>
    <mergeCell ref="B106:J108"/>
    <mergeCell ref="B109:J112"/>
    <mergeCell ref="B113:J115"/>
    <mergeCell ref="B116:J119"/>
    <mergeCell ref="B33:I35"/>
    <mergeCell ref="B3:J4"/>
    <mergeCell ref="C2:I2"/>
    <mergeCell ref="B71:J77"/>
    <mergeCell ref="B6:H6"/>
    <mergeCell ref="B19:H19"/>
    <mergeCell ref="B68:J70"/>
  </mergeCells>
  <pageMargins left="3.937007874015748E-2" right="3.937007874015748E-2" top="3.937007874015748E-2" bottom="3.937007874015748E-2" header="3.937007874015748E-2" footer="3.937007874015748E-2"/>
  <pageSetup paperSize="9" orientation="portrait" r:id="rId1"/>
  <rowBreaks count="2" manualBreakCount="2">
    <brk id="51" max="10" man="1"/>
    <brk id="9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1</vt:i4>
      </vt:variant>
    </vt:vector>
  </HeadingPairs>
  <TitlesOfParts>
    <vt:vector size="8" baseType="lpstr">
      <vt:lpstr>Mini índice</vt:lpstr>
      <vt:lpstr>Mini Dólar</vt:lpstr>
      <vt:lpstr>Estratégias Mini Índice</vt:lpstr>
      <vt:lpstr>Take Profit Mini Índice</vt:lpstr>
      <vt:lpstr>Estratégias Mini Dólar</vt:lpstr>
      <vt:lpstr>Take Profit Mini Dólar)</vt:lpstr>
      <vt:lpstr>Tutorial</vt:lpstr>
      <vt:lpstr>Tutorial!Area_de_impressao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dc:creator>
  <cp:lastModifiedBy>Daniel</cp:lastModifiedBy>
  <cp:lastPrinted>2021-02-19T21:13:19Z</cp:lastPrinted>
  <dcterms:created xsi:type="dcterms:W3CDTF">2018-12-22T03:15:36Z</dcterms:created>
  <dcterms:modified xsi:type="dcterms:W3CDTF">2021-09-13T02:44:23Z</dcterms:modified>
</cp:coreProperties>
</file>